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ttu.ee\home\laivi.laidroo\Documents\Minu antud loengud Oct 2010 forward\2019 Kaasusanalüüs\Väätsa Agro Case\"/>
    </mc:Choice>
  </mc:AlternateContent>
  <bookViews>
    <workbookView xWindow="360" yWindow="570" windowWidth="23000" windowHeight="5960" tabRatio="760" activeTab="5"/>
  </bookViews>
  <sheets>
    <sheet name="Figure 3 updated" sheetId="3" r:id="rId1"/>
    <sheet name="Figure 4 updated" sheetId="4" r:id="rId2"/>
    <sheet name="Figure 5 updated" sheetId="5" r:id="rId3"/>
    <sheet name="Figure 6 updated" sheetId="6" r:id="rId4"/>
    <sheet name="Appendix 3 updated" sheetId="1" r:id="rId5"/>
    <sheet name="Appendix 4 updated" sheetId="2" r:id="rId6"/>
  </sheets>
  <definedNames>
    <definedName name="_xlnm.Print_Area" localSheetId="0">'Figure 3 updated'!$A$5:$K$22</definedName>
    <definedName name="_xlnm.Print_Area" localSheetId="1">'Figure 4 updated'!$A$5:$N$22</definedName>
    <definedName name="_xlnm.Print_Area" localSheetId="2">'Figure 5 updated'!$A$5:$N$21</definedName>
    <definedName name="_xlnm.Print_Area" localSheetId="3">'Figure 6 updated'!$A$7:$N$26</definedName>
  </definedNames>
  <calcPr calcId="162913" concurrentCalc="0"/>
</workbook>
</file>

<file path=xl/calcChain.xml><?xml version="1.0" encoding="utf-8"?>
<calcChain xmlns="http://schemas.openxmlformats.org/spreadsheetml/2006/main">
  <c r="O26" i="2" l="1"/>
  <c r="O57" i="2"/>
  <c r="O43" i="2"/>
  <c r="O39" i="2"/>
  <c r="O20" i="2"/>
  <c r="O7" i="2"/>
  <c r="O56" i="2"/>
  <c r="O58" i="2"/>
  <c r="O46" i="2"/>
  <c r="O53" i="2"/>
  <c r="O34" i="2"/>
  <c r="O44" i="2"/>
  <c r="O60" i="2"/>
  <c r="O27" i="2"/>
  <c r="O28" i="2"/>
  <c r="O14" i="2"/>
  <c r="O15" i="2"/>
  <c r="O30" i="2"/>
  <c r="O5" i="1"/>
  <c r="O6" i="1"/>
  <c r="O17" i="1"/>
  <c r="O19" i="1"/>
  <c r="O25" i="1"/>
  <c r="O27" i="1"/>
  <c r="S3" i="6"/>
  <c r="R3" i="6"/>
  <c r="N57" i="2"/>
  <c r="N56" i="2"/>
  <c r="N43" i="2"/>
  <c r="N51" i="2"/>
  <c r="N39" i="2"/>
  <c r="N34" i="2"/>
  <c r="N20" i="2"/>
  <c r="N7" i="2"/>
  <c r="N58" i="2"/>
  <c r="N46" i="2"/>
  <c r="N53" i="2"/>
  <c r="N44" i="2"/>
  <c r="N60" i="2"/>
  <c r="N27" i="2"/>
  <c r="N28" i="2"/>
  <c r="N14" i="2"/>
  <c r="N15" i="2"/>
  <c r="N30" i="2"/>
  <c r="M46" i="2"/>
  <c r="M57" i="2"/>
  <c r="M43" i="2"/>
  <c r="M51" i="2"/>
  <c r="M7" i="2"/>
  <c r="M20" i="2"/>
  <c r="M58" i="2"/>
  <c r="M53" i="2"/>
  <c r="M34" i="2"/>
  <c r="M44" i="2"/>
  <c r="M60" i="2"/>
  <c r="M27" i="2"/>
  <c r="M28" i="2"/>
  <c r="M14" i="2"/>
  <c r="M15" i="2"/>
  <c r="M30" i="2"/>
  <c r="N5" i="1"/>
  <c r="M5" i="1"/>
  <c r="N6" i="1"/>
  <c r="N17" i="1"/>
  <c r="N19" i="1"/>
  <c r="N25" i="1"/>
  <c r="N27" i="1"/>
  <c r="M6" i="1"/>
  <c r="M17" i="1"/>
  <c r="M19" i="1"/>
  <c r="M25" i="1"/>
  <c r="M27" i="1"/>
  <c r="L57" i="2"/>
  <c r="L52" i="2"/>
  <c r="L43" i="2"/>
  <c r="L7" i="2"/>
  <c r="L51" i="2"/>
  <c r="L46" i="2"/>
  <c r="L21" i="2"/>
  <c r="L20" i="2"/>
  <c r="K57" i="2"/>
  <c r="L34" i="2"/>
  <c r="L5" i="1"/>
  <c r="L58" i="2"/>
  <c r="L53" i="2"/>
  <c r="L44" i="2"/>
  <c r="L60" i="2"/>
  <c r="L27" i="2"/>
  <c r="L28" i="2"/>
  <c r="L14" i="2"/>
  <c r="L15" i="2"/>
  <c r="L30" i="2"/>
  <c r="L6" i="1"/>
  <c r="L17" i="1"/>
  <c r="L19" i="1"/>
  <c r="L25" i="1"/>
  <c r="L27" i="1"/>
  <c r="D1" i="6"/>
  <c r="E1" i="6"/>
  <c r="F1" i="6"/>
  <c r="G1" i="6"/>
  <c r="H1" i="6"/>
  <c r="I1" i="6"/>
  <c r="K52" i="2"/>
  <c r="K43" i="2"/>
  <c r="K39" i="2"/>
  <c r="K51" i="2"/>
  <c r="K46" i="2"/>
  <c r="K34" i="2"/>
  <c r="K20" i="2"/>
  <c r="K7" i="2"/>
  <c r="K5" i="1"/>
  <c r="K6" i="1"/>
  <c r="K17" i="1"/>
  <c r="K19" i="1"/>
  <c r="K25" i="1"/>
  <c r="K27" i="1"/>
  <c r="K58" i="2"/>
  <c r="K53" i="2"/>
  <c r="K44" i="2"/>
  <c r="K60" i="2"/>
  <c r="K27" i="2"/>
  <c r="K28" i="2"/>
  <c r="K14" i="2"/>
  <c r="K15" i="2"/>
  <c r="K30" i="2"/>
  <c r="J52" i="2"/>
  <c r="J34" i="2"/>
  <c r="J51" i="2"/>
  <c r="J43" i="2"/>
  <c r="J46" i="2"/>
  <c r="J57" i="2"/>
  <c r="J58" i="2"/>
  <c r="J21" i="2"/>
  <c r="J26" i="2"/>
  <c r="J7" i="2"/>
  <c r="J20" i="2"/>
  <c r="J27" i="2"/>
  <c r="J13" i="2"/>
  <c r="J44" i="2"/>
  <c r="J14" i="2"/>
  <c r="J15" i="2"/>
  <c r="J5" i="1"/>
  <c r="J6" i="1"/>
  <c r="J17" i="1"/>
  <c r="J19" i="1"/>
  <c r="J25" i="1"/>
  <c r="J27" i="1"/>
  <c r="J53" i="2"/>
  <c r="J60" i="2"/>
  <c r="J28" i="2"/>
  <c r="J30" i="2"/>
  <c r="F46" i="2"/>
  <c r="G13" i="2"/>
  <c r="G11" i="2"/>
  <c r="F11" i="2"/>
  <c r="G22" i="1"/>
  <c r="G23" i="1"/>
  <c r="F23" i="1"/>
  <c r="F22" i="1"/>
  <c r="G21" i="1"/>
  <c r="F21" i="1"/>
  <c r="G4" i="1"/>
  <c r="G5" i="1"/>
  <c r="F4" i="1"/>
  <c r="F5" i="1"/>
  <c r="F3" i="1"/>
  <c r="F6" i="1"/>
  <c r="G43" i="2"/>
  <c r="F43" i="2"/>
  <c r="F42" i="2"/>
  <c r="G42" i="2"/>
  <c r="G41" i="2"/>
  <c r="F41" i="2"/>
  <c r="F40" i="2"/>
  <c r="G40" i="2"/>
  <c r="F50" i="2"/>
  <c r="G36" i="2"/>
  <c r="G38" i="2"/>
  <c r="F38" i="2"/>
  <c r="F33" i="2"/>
  <c r="F34" i="2"/>
  <c r="F37" i="2"/>
  <c r="F35" i="2"/>
  <c r="G33" i="2"/>
  <c r="G34" i="2"/>
  <c r="G46" i="2"/>
  <c r="G50" i="2"/>
  <c r="G37" i="2"/>
  <c r="G35" i="2"/>
  <c r="F36" i="2"/>
  <c r="G49" i="2"/>
  <c r="F25" i="2"/>
  <c r="F23" i="2"/>
  <c r="F24" i="2"/>
  <c r="F26" i="2"/>
  <c r="F21" i="2"/>
  <c r="F20" i="2"/>
  <c r="F27" i="2"/>
  <c r="F13" i="2"/>
  <c r="G10" i="2"/>
  <c r="F10" i="2"/>
  <c r="G9" i="2"/>
  <c r="F9" i="2"/>
  <c r="G7" i="2"/>
  <c r="F7" i="2"/>
  <c r="G5" i="2"/>
  <c r="F5" i="2"/>
  <c r="G16" i="1"/>
  <c r="G12" i="1"/>
  <c r="F16" i="1"/>
  <c r="G15" i="1"/>
  <c r="F15" i="1"/>
  <c r="G14" i="1"/>
  <c r="F14" i="1"/>
  <c r="G13" i="1"/>
  <c r="F13" i="1"/>
  <c r="F12" i="1"/>
  <c r="F17" i="1"/>
  <c r="G10" i="1"/>
  <c r="F10" i="1"/>
  <c r="G9" i="1"/>
  <c r="F9" i="1"/>
  <c r="G8" i="1"/>
  <c r="F8" i="1"/>
  <c r="G3" i="1"/>
  <c r="F57" i="2"/>
  <c r="F55" i="2"/>
  <c r="F56" i="2"/>
  <c r="F58" i="2"/>
  <c r="G57" i="2"/>
  <c r="G56" i="2"/>
  <c r="G55" i="2"/>
  <c r="G58" i="2"/>
  <c r="G52" i="2"/>
  <c r="G53" i="2"/>
  <c r="F52" i="2"/>
  <c r="G24" i="2"/>
  <c r="G17" i="2"/>
  <c r="F17" i="2"/>
  <c r="G12" i="2"/>
  <c r="G14" i="2"/>
  <c r="F12" i="2"/>
  <c r="G4" i="2"/>
  <c r="F4" i="2"/>
  <c r="I5" i="1"/>
  <c r="I6" i="1"/>
  <c r="I8" i="1"/>
  <c r="I17" i="1"/>
  <c r="I19" i="1"/>
  <c r="I22" i="1"/>
  <c r="I25" i="1"/>
  <c r="I27" i="1"/>
  <c r="H4" i="1"/>
  <c r="H5" i="1"/>
  <c r="H6" i="1"/>
  <c r="H8" i="1"/>
  <c r="H17" i="1"/>
  <c r="H19" i="1"/>
  <c r="H22" i="1"/>
  <c r="H25" i="1"/>
  <c r="H27" i="1"/>
  <c r="I57" i="2"/>
  <c r="I58" i="2"/>
  <c r="H57" i="2"/>
  <c r="H52" i="2"/>
  <c r="I52" i="2"/>
  <c r="H7" i="2"/>
  <c r="H46" i="2"/>
  <c r="H34" i="2"/>
  <c r="H49" i="2"/>
  <c r="H36" i="2"/>
  <c r="I46" i="2"/>
  <c r="H50" i="2"/>
  <c r="H37" i="2"/>
  <c r="H47" i="2"/>
  <c r="H38" i="2"/>
  <c r="H48" i="2"/>
  <c r="I48" i="2"/>
  <c r="I51" i="2"/>
  <c r="I50" i="2"/>
  <c r="I37" i="2"/>
  <c r="I20" i="2"/>
  <c r="H20" i="2"/>
  <c r="H27" i="2"/>
  <c r="H28" i="2"/>
  <c r="G20" i="2"/>
  <c r="G27" i="2"/>
  <c r="I13" i="2"/>
  <c r="H13" i="2"/>
  <c r="I7" i="2"/>
  <c r="I44" i="2"/>
  <c r="I27" i="2"/>
  <c r="I28" i="2"/>
  <c r="I14" i="2"/>
  <c r="I15" i="2"/>
  <c r="H58" i="2"/>
  <c r="H14" i="2"/>
  <c r="H15" i="2"/>
  <c r="G44" i="2"/>
  <c r="F53" i="2"/>
  <c r="E58" i="2"/>
  <c r="D58" i="2"/>
  <c r="C58" i="2"/>
  <c r="B58" i="2"/>
  <c r="E53" i="2"/>
  <c r="D53" i="2"/>
  <c r="C53" i="2"/>
  <c r="B53" i="2"/>
  <c r="E44" i="2"/>
  <c r="D44" i="2"/>
  <c r="C44" i="2"/>
  <c r="B44" i="2"/>
  <c r="E27" i="2"/>
  <c r="E28" i="2"/>
  <c r="D27" i="2"/>
  <c r="D28" i="2"/>
  <c r="C27" i="2"/>
  <c r="C28" i="2"/>
  <c r="B27" i="2"/>
  <c r="B28" i="2"/>
  <c r="E14" i="2"/>
  <c r="E15" i="2"/>
  <c r="D14" i="2"/>
  <c r="D15" i="2"/>
  <c r="C14" i="2"/>
  <c r="C15" i="2"/>
  <c r="B14" i="2"/>
  <c r="B15" i="2"/>
  <c r="D6" i="1"/>
  <c r="D17" i="1"/>
  <c r="D19" i="1"/>
  <c r="D25" i="1"/>
  <c r="D27" i="1"/>
  <c r="E17" i="1"/>
  <c r="E6" i="1"/>
  <c r="E19" i="1"/>
  <c r="E25" i="1"/>
  <c r="E27" i="1"/>
  <c r="C17" i="1"/>
  <c r="B17" i="1"/>
  <c r="C6" i="1"/>
  <c r="C19" i="1"/>
  <c r="C25" i="1"/>
  <c r="C27" i="1"/>
  <c r="B6" i="1"/>
  <c r="B19" i="1"/>
  <c r="B25" i="1"/>
  <c r="B27" i="1"/>
  <c r="F44" i="2"/>
  <c r="F60" i="2"/>
  <c r="F14" i="2"/>
  <c r="F15" i="2"/>
  <c r="G15" i="2"/>
  <c r="G17" i="1"/>
  <c r="G6" i="1"/>
  <c r="F19" i="1"/>
  <c r="F25" i="1"/>
  <c r="F27" i="1"/>
  <c r="G28" i="2"/>
  <c r="F28" i="2"/>
  <c r="H53" i="2"/>
  <c r="D60" i="2"/>
  <c r="E60" i="2"/>
  <c r="B60" i="2"/>
  <c r="C30" i="2"/>
  <c r="C60" i="2"/>
  <c r="I53" i="2"/>
  <c r="I60" i="2"/>
  <c r="H44" i="2"/>
  <c r="H30" i="2"/>
  <c r="G60" i="2"/>
  <c r="I30" i="2"/>
  <c r="E30" i="2"/>
  <c r="B30" i="2"/>
  <c r="D30" i="2"/>
  <c r="F30" i="2"/>
  <c r="G30" i="2"/>
  <c r="G19" i="1"/>
  <c r="G25" i="1"/>
  <c r="G27" i="1"/>
  <c r="H60" i="2"/>
</calcChain>
</file>

<file path=xl/comments1.xml><?xml version="1.0" encoding="utf-8"?>
<comments xmlns="http://schemas.openxmlformats.org/spreadsheetml/2006/main">
  <authors>
    <author>Laivi</author>
  </authors>
  <commentList>
    <comment ref="A24" authorId="0" shapeId="0">
      <text>
        <r>
          <rPr>
            <b/>
            <sz val="8"/>
            <color indexed="81"/>
            <rFont val="Tahoma"/>
            <family val="2"/>
            <charset val="186"/>
          </rPr>
          <t>Laivi:</t>
        </r>
        <r>
          <rPr>
            <sz val="8"/>
            <color indexed="81"/>
            <rFont val="Tahoma"/>
            <family val="2"/>
            <charset val="186"/>
          </rPr>
          <t xml:space="preserve">
(for consumption: wintershoots, young ox, pigs grown for sale; for production: cows, young pigs young pigs)</t>
        </r>
      </text>
    </comment>
  </commentList>
</comments>
</file>

<file path=xl/sharedStrings.xml><?xml version="1.0" encoding="utf-8"?>
<sst xmlns="http://schemas.openxmlformats.org/spreadsheetml/2006/main" count="102" uniqueCount="91">
  <si>
    <t>APPENDIX 3. Väätsa Agro AS income statements</t>
  </si>
  <si>
    <t>(in th EUR)</t>
  </si>
  <si>
    <t>Sales</t>
  </si>
  <si>
    <t>Subsidies</t>
  </si>
  <si>
    <t>Other revenue</t>
  </si>
  <si>
    <t>Total revenue</t>
  </si>
  <si>
    <t>Change in inventories</t>
  </si>
  <si>
    <t>Profit/loss from biological assets</t>
  </si>
  <si>
    <t>Capitalised investments into fixed assets</t>
  </si>
  <si>
    <t>Goods and services</t>
  </si>
  <si>
    <t>Operating expenses</t>
  </si>
  <si>
    <t>Personnel expenses</t>
  </si>
  <si>
    <t>Depreciation</t>
  </si>
  <si>
    <t>Other operating expenses</t>
  </si>
  <si>
    <t>Total operating expenses</t>
  </si>
  <si>
    <t>Operating profit</t>
  </si>
  <si>
    <t>Interest expenses</t>
  </si>
  <si>
    <t>Other financial income</t>
  </si>
  <si>
    <t>Other financial expenses</t>
  </si>
  <si>
    <t>Profit before taxes</t>
  </si>
  <si>
    <t>Income tax</t>
  </si>
  <si>
    <t>Net profit</t>
  </si>
  <si>
    <t>APPENDIX 4. Väätsa Agro AS balance sheets</t>
  </si>
  <si>
    <t>CURRENT ASSETS</t>
  </si>
  <si>
    <t>Cash and bank accounts</t>
  </si>
  <si>
    <t>Accounts receivable</t>
  </si>
  <si>
    <t>Receivables from (former) parent company Urbanfors OÜ</t>
  </si>
  <si>
    <t>Other receivables</t>
  </si>
  <si>
    <t>Inventories</t>
  </si>
  <si>
    <t>Raw material</t>
  </si>
  <si>
    <t>Goods in process</t>
  </si>
  <si>
    <t>Finished goods</t>
  </si>
  <si>
    <t>Biological assets</t>
  </si>
  <si>
    <t>Goods for sale</t>
  </si>
  <si>
    <t>Total inventories</t>
  </si>
  <si>
    <t>TOTAL CURRENT ASSETS</t>
  </si>
  <si>
    <t>NON-CURRENT ASSETS</t>
  </si>
  <si>
    <t>Long term investments into securities</t>
  </si>
  <si>
    <t>Fixed assets</t>
  </si>
  <si>
    <t>Land and buildings</t>
  </si>
  <si>
    <t>Equipment and machinery</t>
  </si>
  <si>
    <t xml:space="preserve">          incl. leased equipment and machinery</t>
  </si>
  <si>
    <t>Other tangible fixed assets</t>
  </si>
  <si>
    <t xml:space="preserve">Biological assets </t>
  </si>
  <si>
    <t>Construction in progress</t>
  </si>
  <si>
    <t>Total fixed assets</t>
  </si>
  <si>
    <t>TOTAL NON-CURRENT ASSETS</t>
  </si>
  <si>
    <t>TOTAL ASSETS</t>
  </si>
  <si>
    <t>CURRENT LIABILITIES</t>
  </si>
  <si>
    <t>Short-term loans (overdraft)</t>
  </si>
  <si>
    <t>Current portion of long-term loans</t>
  </si>
  <si>
    <t xml:space="preserve">      incl. Swedbank AS</t>
  </si>
  <si>
    <t xml:space="preserve">      incl. financial lease</t>
  </si>
  <si>
    <t>Trade payables</t>
  </si>
  <si>
    <t>Taxes payable</t>
  </si>
  <si>
    <t>Payables to employees</t>
  </si>
  <si>
    <t>Other accrued expenses</t>
  </si>
  <si>
    <t>TOTAL CURRENT LIABILITIES</t>
  </si>
  <si>
    <t>NON-CURRENT LIABILITIES</t>
  </si>
  <si>
    <t>Long-term borrowings</t>
  </si>
  <si>
    <t xml:space="preserve">      incl. loan from Hanseatic Capital Estonia OÜ</t>
  </si>
  <si>
    <t>Prepaid expenses</t>
  </si>
  <si>
    <t>TOTAL NON-CURRENT LIABILITIES</t>
  </si>
  <si>
    <t>EQUITY</t>
  </si>
  <si>
    <t>Share capital</t>
  </si>
  <si>
    <t>Retained earnings</t>
  </si>
  <si>
    <t>TOTAL EQUITY</t>
  </si>
  <si>
    <t>TOTAL LIABILITIES AND EQUITY</t>
  </si>
  <si>
    <t xml:space="preserve">      incl. other bank loans</t>
  </si>
  <si>
    <t xml:space="preserve">      incl. Trigon Dairy Farming AS</t>
  </si>
  <si>
    <t>Long term receivables</t>
  </si>
  <si>
    <t>Cattle</t>
  </si>
  <si>
    <t>incl. cows</t>
  </si>
  <si>
    <t>Pigs</t>
  </si>
  <si>
    <t>Total milk production (tons)</t>
  </si>
  <si>
    <t>Milk per cow (kg)</t>
  </si>
  <si>
    <t>Average milk per cow (kg)</t>
  </si>
  <si>
    <r>
      <rPr>
        <i/>
        <sz val="11"/>
        <color theme="1"/>
        <rFont val="Calibri"/>
        <family val="2"/>
        <charset val="186"/>
        <scheme val="minor"/>
      </rPr>
      <t xml:space="preserve">Source: </t>
    </r>
    <r>
      <rPr>
        <sz val="11"/>
        <color theme="1"/>
        <rFont val="Calibri"/>
        <family val="2"/>
        <charset val="186"/>
        <scheme val="minor"/>
      </rPr>
      <t>Statistic Estonia http://www.stat.ee/</t>
    </r>
  </si>
  <si>
    <t>EU average</t>
  </si>
  <si>
    <t>USA Class III</t>
  </si>
  <si>
    <t>Estonia average</t>
  </si>
  <si>
    <t>Väätsa Agro AS average</t>
  </si>
  <si>
    <r>
      <rPr>
        <b/>
        <sz val="11"/>
        <color theme="1"/>
        <rFont val="Calibri"/>
        <family val="2"/>
        <charset val="186"/>
        <scheme val="minor"/>
      </rPr>
      <t>Figure 6.</t>
    </r>
    <r>
      <rPr>
        <sz val="11"/>
        <color theme="1"/>
        <rFont val="Calibri"/>
        <family val="2"/>
        <charset val="186"/>
        <scheme val="minor"/>
      </rPr>
      <t xml:space="preserve"> Annual average milk price 2001-2008 and spot price in August 2009</t>
    </r>
  </si>
  <si>
    <r>
      <rPr>
        <i/>
        <sz val="11"/>
        <color theme="1"/>
        <rFont val="Calibri"/>
        <family val="2"/>
        <charset val="186"/>
        <scheme val="minor"/>
      </rPr>
      <t>Source:</t>
    </r>
    <r>
      <rPr>
        <sz val="11"/>
        <color theme="1"/>
        <rFont val="Calibri"/>
        <family val="2"/>
        <charset val="186"/>
        <scheme val="minor"/>
      </rPr>
      <t xml:space="preserve"> EU average and US Class III: LTO International Milk Price Comparison (http://www.milkprices.nl ); Estonian average from Statistics Estonia (http://www.stat.ee/) and Väätsa Agro AS average (annual reports 2002-2009)</t>
    </r>
  </si>
  <si>
    <t>no data</t>
  </si>
  <si>
    <r>
      <rPr>
        <b/>
        <sz val="11"/>
        <color theme="1"/>
        <rFont val="Calibri"/>
        <family val="2"/>
        <charset val="186"/>
        <scheme val="minor"/>
      </rPr>
      <t>Figure 3.</t>
    </r>
    <r>
      <rPr>
        <sz val="11"/>
        <color theme="1"/>
        <rFont val="Calibri"/>
        <family val="2"/>
        <charset val="186"/>
        <scheme val="minor"/>
      </rPr>
      <t xml:space="preserve"> Väätsa Agro AS livestock 2002-2017</t>
    </r>
  </si>
  <si>
    <r>
      <rPr>
        <i/>
        <sz val="11"/>
        <color theme="1"/>
        <rFont val="Calibri"/>
        <family val="2"/>
        <charset val="186"/>
        <scheme val="minor"/>
      </rPr>
      <t>Source:</t>
    </r>
    <r>
      <rPr>
        <sz val="11"/>
        <color theme="1"/>
        <rFont val="Calibri"/>
        <family val="2"/>
        <charset val="186"/>
        <scheme val="minor"/>
      </rPr>
      <t xml:space="preserve"> Väätsa Agro AS annual reports 2003-2017</t>
    </r>
  </si>
  <si>
    <r>
      <rPr>
        <b/>
        <sz val="11"/>
        <color theme="1"/>
        <rFont val="Calibri"/>
        <family val="2"/>
        <charset val="186"/>
        <scheme val="minor"/>
      </rPr>
      <t>Figure 4.</t>
    </r>
    <r>
      <rPr>
        <sz val="11"/>
        <color theme="1"/>
        <rFont val="Calibri"/>
        <family val="2"/>
        <charset val="186"/>
        <scheme val="minor"/>
      </rPr>
      <t xml:space="preserve"> Väätsa Agro AS milk production 2002-2017</t>
    </r>
  </si>
  <si>
    <t>Statutory legal reserve+ other reserves</t>
  </si>
  <si>
    <r>
      <rPr>
        <b/>
        <sz val="11"/>
        <color theme="1"/>
        <rFont val="Calibri"/>
        <family val="2"/>
        <charset val="186"/>
        <scheme val="minor"/>
      </rPr>
      <t>Figure 5.</t>
    </r>
    <r>
      <rPr>
        <sz val="11"/>
        <color theme="1"/>
        <rFont val="Calibri"/>
        <family val="2"/>
        <charset val="186"/>
        <scheme val="minor"/>
      </rPr>
      <t xml:space="preserve"> Total milk production in Estonia 2004-2017</t>
    </r>
  </si>
  <si>
    <r>
      <rPr>
        <i/>
        <sz val="10"/>
        <color theme="1"/>
        <rFont val="Arial"/>
        <family val="2"/>
        <charset val="186"/>
      </rPr>
      <t>Source:</t>
    </r>
    <r>
      <rPr>
        <sz val="10"/>
        <color theme="1"/>
        <rFont val="Arial"/>
        <family val="2"/>
        <charset val="186"/>
      </rPr>
      <t xml:space="preserve"> Väätsa Agro AS annual reports 2005-2018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</si>
</sst>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3" fontId="3" fillId="0" borderId="0" xfId="0" applyNumberFormat="1" applyFont="1"/>
    <xf numFmtId="3" fontId="3" fillId="0" borderId="3" xfId="0" applyNumberFormat="1" applyFont="1" applyBorder="1"/>
    <xf numFmtId="0" fontId="2" fillId="0" borderId="3" xfId="0" applyFont="1" applyBorder="1"/>
    <xf numFmtId="3" fontId="2" fillId="0" borderId="0" xfId="0" applyNumberFormat="1" applyFont="1"/>
    <xf numFmtId="3" fontId="2" fillId="0" borderId="3" xfId="0" applyNumberFormat="1" applyFont="1" applyBorder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4" fontId="2" fillId="2" borderId="1" xfId="0" applyNumberFormat="1" applyFont="1" applyFill="1" applyBorder="1"/>
    <xf numFmtId="14" fontId="2" fillId="2" borderId="2" xfId="0" applyNumberFormat="1" applyFont="1" applyFill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/>
    <xf numFmtId="3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3" fontId="0" fillId="0" borderId="0" xfId="0" applyNumberFormat="1"/>
    <xf numFmtId="0" fontId="7" fillId="0" borderId="4" xfId="0" applyFont="1" applyBorder="1"/>
    <xf numFmtId="0" fontId="0" fillId="0" borderId="4" xfId="0" applyBorder="1"/>
    <xf numFmtId="3" fontId="0" fillId="0" borderId="4" xfId="0" applyNumberFormat="1" applyBorder="1"/>
    <xf numFmtId="0" fontId="0" fillId="0" borderId="0" xfId="0" applyFont="1"/>
    <xf numFmtId="164" fontId="0" fillId="0" borderId="4" xfId="0" applyNumberFormat="1" applyBorder="1"/>
    <xf numFmtId="0" fontId="0" fillId="3" borderId="0" xfId="0" applyFill="1"/>
    <xf numFmtId="3" fontId="0" fillId="3" borderId="4" xfId="0" applyNumberFormat="1" applyFill="1" applyBorder="1"/>
    <xf numFmtId="3" fontId="0" fillId="0" borderId="4" xfId="0" applyNumberFormat="1" applyFont="1" applyBorder="1"/>
    <xf numFmtId="164" fontId="0" fillId="3" borderId="4" xfId="0" applyNumberFormat="1" applyFill="1" applyBorder="1"/>
    <xf numFmtId="0" fontId="0" fillId="3" borderId="4" xfId="0" applyFill="1" applyBorder="1"/>
    <xf numFmtId="0" fontId="7" fillId="0" borderId="4" xfId="0" applyFont="1" applyFill="1" applyBorder="1"/>
    <xf numFmtId="0" fontId="0" fillId="0" borderId="0" xfId="0" applyAlignment="1">
      <alignment wrapText="1"/>
    </xf>
    <xf numFmtId="0" fontId="0" fillId="2" borderId="4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7843794606942"/>
          <c:y val="4.4900087489063871E-2"/>
          <c:w val="0.84591190483441114"/>
          <c:h val="0.65235275590551178"/>
        </c:manualLayout>
      </c:layout>
      <c:lineChart>
        <c:grouping val="standard"/>
        <c:varyColors val="0"/>
        <c:ser>
          <c:idx val="1"/>
          <c:order val="0"/>
          <c:tx>
            <c:strRef>
              <c:f>'Figure 3 updated'!$A$2</c:f>
              <c:strCache>
                <c:ptCount val="1"/>
                <c:pt idx="0">
                  <c:v>Cattle</c:v>
                </c:pt>
              </c:strCache>
            </c:strRef>
          </c:tx>
          <c:marker>
            <c:symbol val="none"/>
          </c:marker>
          <c:cat>
            <c:numRef>
              <c:f>'Figure 3 updated'!$B$1:$Q$1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3 updated'!$B$2:$Q$2</c:f>
              <c:numCache>
                <c:formatCode>#,##0</c:formatCode>
                <c:ptCount val="16"/>
                <c:pt idx="0">
                  <c:v>4004</c:v>
                </c:pt>
                <c:pt idx="1">
                  <c:v>3796</c:v>
                </c:pt>
                <c:pt idx="2">
                  <c:v>3664</c:v>
                </c:pt>
                <c:pt idx="3">
                  <c:v>3904</c:v>
                </c:pt>
                <c:pt idx="4">
                  <c:v>3889</c:v>
                </c:pt>
                <c:pt idx="5">
                  <c:v>3739</c:v>
                </c:pt>
                <c:pt idx="6">
                  <c:v>3692</c:v>
                </c:pt>
                <c:pt idx="7">
                  <c:v>3531</c:v>
                </c:pt>
                <c:pt idx="8">
                  <c:v>3369</c:v>
                </c:pt>
                <c:pt idx="9">
                  <c:v>3288</c:v>
                </c:pt>
                <c:pt idx="10">
                  <c:v>3414</c:v>
                </c:pt>
                <c:pt idx="11">
                  <c:v>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4-4655-AF4E-23EA8D8F2873}"/>
            </c:ext>
          </c:extLst>
        </c:ser>
        <c:ser>
          <c:idx val="2"/>
          <c:order val="1"/>
          <c:tx>
            <c:strRef>
              <c:f>'Figure 3 updated'!$A$3</c:f>
              <c:strCache>
                <c:ptCount val="1"/>
                <c:pt idx="0">
                  <c:v>incl. cows</c:v>
                </c:pt>
              </c:strCache>
            </c:strRef>
          </c:tx>
          <c:marker>
            <c:symbol val="none"/>
          </c:marker>
          <c:cat>
            <c:numRef>
              <c:f>'Figure 3 updated'!$B$1:$Q$1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3 updated'!$B$3:$Q$3</c:f>
              <c:numCache>
                <c:formatCode>#,##0</c:formatCode>
                <c:ptCount val="16"/>
                <c:pt idx="0">
                  <c:v>2030</c:v>
                </c:pt>
                <c:pt idx="1">
                  <c:v>2031</c:v>
                </c:pt>
                <c:pt idx="2">
                  <c:v>2013</c:v>
                </c:pt>
                <c:pt idx="3">
                  <c:v>2015</c:v>
                </c:pt>
                <c:pt idx="4">
                  <c:v>2112</c:v>
                </c:pt>
                <c:pt idx="5">
                  <c:v>1977</c:v>
                </c:pt>
                <c:pt idx="6">
                  <c:v>1977</c:v>
                </c:pt>
                <c:pt idx="7">
                  <c:v>1742</c:v>
                </c:pt>
                <c:pt idx="8">
                  <c:v>1658</c:v>
                </c:pt>
                <c:pt idx="9">
                  <c:v>1685</c:v>
                </c:pt>
                <c:pt idx="10">
                  <c:v>1740</c:v>
                </c:pt>
                <c:pt idx="11">
                  <c:v>1860</c:v>
                </c:pt>
                <c:pt idx="12">
                  <c:v>1837</c:v>
                </c:pt>
                <c:pt idx="13">
                  <c:v>2017</c:v>
                </c:pt>
                <c:pt idx="14">
                  <c:v>2230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4-4655-AF4E-23EA8D8F2873}"/>
            </c:ext>
          </c:extLst>
        </c:ser>
        <c:ser>
          <c:idx val="3"/>
          <c:order val="2"/>
          <c:tx>
            <c:strRef>
              <c:f>'Figure 3 updated'!$A$4</c:f>
              <c:strCache>
                <c:ptCount val="1"/>
                <c:pt idx="0">
                  <c:v>Pigs</c:v>
                </c:pt>
              </c:strCache>
            </c:strRef>
          </c:tx>
          <c:marker>
            <c:symbol val="none"/>
          </c:marker>
          <c:cat>
            <c:numRef>
              <c:f>'Figure 3 updated'!$B$1:$Q$1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3 updated'!$B$4:$Q$4</c:f>
              <c:numCache>
                <c:formatCode>#,##0</c:formatCode>
                <c:ptCount val="16"/>
                <c:pt idx="0">
                  <c:v>4453</c:v>
                </c:pt>
                <c:pt idx="1">
                  <c:v>3691</c:v>
                </c:pt>
                <c:pt idx="2">
                  <c:v>2155</c:v>
                </c:pt>
                <c:pt idx="3">
                  <c:v>2594</c:v>
                </c:pt>
                <c:pt idx="4">
                  <c:v>1760</c:v>
                </c:pt>
                <c:pt idx="5">
                  <c:v>2099</c:v>
                </c:pt>
                <c:pt idx="6">
                  <c:v>1845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14-4655-AF4E-23EA8D8F2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734384"/>
        <c:axId val="246734776"/>
      </c:lineChart>
      <c:catAx>
        <c:axId val="24673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734776"/>
        <c:crosses val="autoZero"/>
        <c:auto val="1"/>
        <c:lblAlgn val="ctr"/>
        <c:lblOffset val="100"/>
        <c:noMultiLvlLbl val="0"/>
      </c:catAx>
      <c:valAx>
        <c:axId val="246734776"/>
        <c:scaling>
          <c:orientation val="minMax"/>
          <c:min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 of animals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46734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4 updated'!$A$2</c:f>
              <c:strCache>
                <c:ptCount val="1"/>
                <c:pt idx="0">
                  <c:v>Total milk production (tons)</c:v>
                </c:pt>
              </c:strCache>
            </c:strRef>
          </c:tx>
          <c:marker>
            <c:symbol val="none"/>
          </c:marker>
          <c:cat>
            <c:numRef>
              <c:f>'Figure 4 updated'!$B$1:$Q$1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4 updated'!$B$2:$Q$2</c:f>
              <c:numCache>
                <c:formatCode>#,##0</c:formatCode>
                <c:ptCount val="16"/>
                <c:pt idx="0">
                  <c:v>14053</c:v>
                </c:pt>
                <c:pt idx="1">
                  <c:v>13857</c:v>
                </c:pt>
                <c:pt idx="2">
                  <c:v>14508</c:v>
                </c:pt>
                <c:pt idx="3">
                  <c:v>15004</c:v>
                </c:pt>
                <c:pt idx="4">
                  <c:v>16642</c:v>
                </c:pt>
                <c:pt idx="5">
                  <c:v>15643</c:v>
                </c:pt>
                <c:pt idx="6">
                  <c:v>15166</c:v>
                </c:pt>
                <c:pt idx="7">
                  <c:v>12806</c:v>
                </c:pt>
                <c:pt idx="8">
                  <c:v>13024</c:v>
                </c:pt>
                <c:pt idx="9">
                  <c:v>12821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C-4EDC-A9DC-15ABBEC9F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35952"/>
        <c:axId val="246736344"/>
      </c:lineChart>
      <c:lineChart>
        <c:grouping val="standard"/>
        <c:varyColors val="0"/>
        <c:ser>
          <c:idx val="1"/>
          <c:order val="1"/>
          <c:tx>
            <c:strRef>
              <c:f>'Figure 4 updated'!$A$3</c:f>
              <c:strCache>
                <c:ptCount val="1"/>
                <c:pt idx="0">
                  <c:v>Milk per cow (kg)</c:v>
                </c:pt>
              </c:strCache>
            </c:strRef>
          </c:tx>
          <c:marker>
            <c:symbol val="none"/>
          </c:marker>
          <c:cat>
            <c:numRef>
              <c:f>'Figure 4 updated'!$B$1:$N$1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'Figure 4 updated'!$B$3:$Q$3</c:f>
              <c:numCache>
                <c:formatCode>#,##0</c:formatCode>
                <c:ptCount val="16"/>
                <c:pt idx="0">
                  <c:v>7000</c:v>
                </c:pt>
                <c:pt idx="1">
                  <c:v>6931</c:v>
                </c:pt>
                <c:pt idx="2">
                  <c:v>7169</c:v>
                </c:pt>
                <c:pt idx="3">
                  <c:v>7509</c:v>
                </c:pt>
                <c:pt idx="4">
                  <c:v>7899</c:v>
                </c:pt>
                <c:pt idx="5">
                  <c:v>7569</c:v>
                </c:pt>
                <c:pt idx="6">
                  <c:v>7582</c:v>
                </c:pt>
                <c:pt idx="7">
                  <c:v>6871</c:v>
                </c:pt>
                <c:pt idx="8">
                  <c:v>7726</c:v>
                </c:pt>
                <c:pt idx="9">
                  <c:v>7468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C-4EDC-A9DC-15ABBEC9F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37128"/>
        <c:axId val="246736736"/>
      </c:lineChart>
      <c:catAx>
        <c:axId val="24673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736344"/>
        <c:crosses val="autoZero"/>
        <c:auto val="1"/>
        <c:lblAlgn val="ctr"/>
        <c:lblOffset val="100"/>
        <c:noMultiLvlLbl val="0"/>
      </c:catAx>
      <c:valAx>
        <c:axId val="246736344"/>
        <c:scaling>
          <c:orientation val="minMax"/>
          <c:min val="1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rgbClr val="0070C0"/>
            </a:solidFill>
          </a:ln>
        </c:spPr>
        <c:crossAx val="246735952"/>
        <c:crosses val="autoZero"/>
        <c:crossBetween val="between"/>
      </c:valAx>
      <c:valAx>
        <c:axId val="2467367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t-EE"/>
                  <a:t>kg per cow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rgbClr val="C00000"/>
            </a:solidFill>
          </a:ln>
        </c:spPr>
        <c:crossAx val="246737128"/>
        <c:crosses val="max"/>
        <c:crossBetween val="between"/>
      </c:valAx>
      <c:catAx>
        <c:axId val="246737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673673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5 updated'!$A$2</c:f>
              <c:strCache>
                <c:ptCount val="1"/>
                <c:pt idx="0">
                  <c:v>Total milk production (tons)</c:v>
                </c:pt>
              </c:strCache>
            </c:strRef>
          </c:tx>
          <c:marker>
            <c:symbol val="none"/>
          </c:marker>
          <c:cat>
            <c:numRef>
              <c:f>'Figure 5 updated'!$B$1:$P$1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'Figure 5 updated'!$B$2:$P$2</c:f>
              <c:numCache>
                <c:formatCode>#,##0</c:formatCode>
                <c:ptCount val="15"/>
                <c:pt idx="0">
                  <c:v>652400</c:v>
                </c:pt>
                <c:pt idx="1">
                  <c:v>670427</c:v>
                </c:pt>
                <c:pt idx="2">
                  <c:v>691966</c:v>
                </c:pt>
                <c:pt idx="3">
                  <c:v>692416</c:v>
                </c:pt>
                <c:pt idx="4">
                  <c:v>694203</c:v>
                </c:pt>
                <c:pt idx="5">
                  <c:v>671031</c:v>
                </c:pt>
                <c:pt idx="6">
                  <c:v>675970</c:v>
                </c:pt>
                <c:pt idx="7">
                  <c:v>692987</c:v>
                </c:pt>
                <c:pt idx="8">
                  <c:v>721246</c:v>
                </c:pt>
                <c:pt idx="9">
                  <c:v>771632</c:v>
                </c:pt>
                <c:pt idx="10">
                  <c:v>805165</c:v>
                </c:pt>
                <c:pt idx="11">
                  <c:v>783172</c:v>
                </c:pt>
                <c:pt idx="12">
                  <c:v>783155</c:v>
                </c:pt>
                <c:pt idx="13">
                  <c:v>791830</c:v>
                </c:pt>
                <c:pt idx="14">
                  <c:v>797600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F-42D7-AFBB-44C109FD3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87344"/>
        <c:axId val="246387736"/>
      </c:lineChart>
      <c:lineChart>
        <c:grouping val="standard"/>
        <c:varyColors val="0"/>
        <c:ser>
          <c:idx val="1"/>
          <c:order val="1"/>
          <c:tx>
            <c:strRef>
              <c:f>'Figure 5 updated'!$A$3</c:f>
              <c:strCache>
                <c:ptCount val="1"/>
                <c:pt idx="0">
                  <c:v>Average milk per cow (kg)</c:v>
                </c:pt>
              </c:strCache>
            </c:strRef>
          </c:tx>
          <c:marker>
            <c:symbol val="none"/>
          </c:marker>
          <c:cat>
            <c:numRef>
              <c:f>'Figure 5 updated'!$B$1:$P$1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'Figure 5 updated'!$B$3:$P$3</c:f>
              <c:numCache>
                <c:formatCode>#,##0</c:formatCode>
                <c:ptCount val="15"/>
                <c:pt idx="0">
                  <c:v>5528</c:v>
                </c:pt>
                <c:pt idx="1">
                  <c:v>5886</c:v>
                </c:pt>
                <c:pt idx="2">
                  <c:v>6285</c:v>
                </c:pt>
                <c:pt idx="3">
                  <c:v>6484</c:v>
                </c:pt>
                <c:pt idx="4">
                  <c:v>6781</c:v>
                </c:pt>
                <c:pt idx="5">
                  <c:v>6838</c:v>
                </c:pt>
                <c:pt idx="6">
                  <c:v>7021</c:v>
                </c:pt>
                <c:pt idx="7">
                  <c:v>7168</c:v>
                </c:pt>
                <c:pt idx="8">
                  <c:v>7526</c:v>
                </c:pt>
                <c:pt idx="9">
                  <c:v>7990</c:v>
                </c:pt>
                <c:pt idx="10">
                  <c:v>8233</c:v>
                </c:pt>
                <c:pt idx="11">
                  <c:v>8442</c:v>
                </c:pt>
                <c:pt idx="12">
                  <c:v>8878</c:v>
                </c:pt>
                <c:pt idx="13">
                  <c:v>9160</c:v>
                </c:pt>
                <c:pt idx="14">
                  <c:v>9287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F-42D7-AFBB-44C109FD3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88520"/>
        <c:axId val="246388128"/>
      </c:lineChart>
      <c:catAx>
        <c:axId val="24638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387736"/>
        <c:crosses val="autoZero"/>
        <c:auto val="1"/>
        <c:lblAlgn val="ctr"/>
        <c:lblOffset val="100"/>
        <c:noMultiLvlLbl val="0"/>
      </c:catAx>
      <c:valAx>
        <c:axId val="246387736"/>
        <c:scaling>
          <c:orientation val="minMax"/>
          <c:min val="51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rgbClr val="0070C0"/>
            </a:solidFill>
          </a:ln>
        </c:spPr>
        <c:crossAx val="246387344"/>
        <c:crosses val="autoZero"/>
        <c:crossBetween val="between"/>
      </c:valAx>
      <c:valAx>
        <c:axId val="246388128"/>
        <c:scaling>
          <c:orientation val="minMax"/>
          <c:min val="5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t-EE"/>
                  <a:t>kg per cow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rgbClr val="C00000"/>
            </a:solidFill>
          </a:ln>
        </c:spPr>
        <c:crossAx val="246388520"/>
        <c:crosses val="max"/>
        <c:crossBetween val="between"/>
      </c:valAx>
      <c:catAx>
        <c:axId val="246388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638812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6 updated'!$A$2</c:f>
              <c:strCache>
                <c:ptCount val="1"/>
                <c:pt idx="0">
                  <c:v>EU average</c:v>
                </c:pt>
              </c:strCache>
            </c:strRef>
          </c:tx>
          <c:marker>
            <c:symbol val="none"/>
          </c:marker>
          <c:cat>
            <c:numRef>
              <c:f>'Figure 6 updated'!$B$1:$S$1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'Figure 6 updated'!$B$2:$S$2</c:f>
              <c:numCache>
                <c:formatCode>0.000</c:formatCode>
                <c:ptCount val="13"/>
                <c:pt idx="0">
                  <c:v>0.28339999999999999</c:v>
                </c:pt>
                <c:pt idx="1">
                  <c:v>0.32520000000000004</c:v>
                </c:pt>
                <c:pt idx="2">
                  <c:v>0.34960000000000002</c:v>
                </c:pt>
                <c:pt idx="3">
                  <c:v>0.27379999999999999</c:v>
                </c:pt>
                <c:pt idx="4">
                  <c:v>0.31459999999999999</c:v>
                </c:pt>
                <c:pt idx="5">
                  <c:v>0.35039999999999999</c:v>
                </c:pt>
                <c:pt idx="6">
                  <c:v>0.33729999999999999</c:v>
                </c:pt>
                <c:pt idx="7">
                  <c:v>0.37959999999999999</c:v>
                </c:pt>
                <c:pt idx="8">
                  <c:v>0.38619999999999999</c:v>
                </c:pt>
                <c:pt idx="9">
                  <c:v>0.31269999999999998</c:v>
                </c:pt>
                <c:pt idx="10">
                  <c:v>0.28299999999999997</c:v>
                </c:pt>
                <c:pt idx="11">
                  <c:v>0.35239999999999999</c:v>
                </c:pt>
                <c:pt idx="12">
                  <c:v>0.34229999999999999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C2-4837-B3E0-87F02B35EC38}"/>
            </c:ext>
          </c:extLst>
        </c:ser>
        <c:ser>
          <c:idx val="1"/>
          <c:order val="1"/>
          <c:tx>
            <c:strRef>
              <c:f>'Figure 6 updated'!$A$3</c:f>
              <c:strCache>
                <c:ptCount val="1"/>
                <c:pt idx="0">
                  <c:v>USA Class III</c:v>
                </c:pt>
              </c:strCache>
            </c:strRef>
          </c:tx>
          <c:marker>
            <c:symbol val="none"/>
          </c:marker>
          <c:cat>
            <c:numRef>
              <c:f>'Figure 6 updated'!$B$1:$S$1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'Figure 6 updated'!$B$3:$S$3</c:f>
              <c:numCache>
                <c:formatCode>0.000</c:formatCode>
                <c:ptCount val="13"/>
                <c:pt idx="0">
                  <c:v>0.23469999999999999</c:v>
                </c:pt>
                <c:pt idx="1">
                  <c:v>0.32119999999999999</c:v>
                </c:pt>
                <c:pt idx="2">
                  <c:v>0.29370000000000002</c:v>
                </c:pt>
                <c:pt idx="3">
                  <c:v>0.2024</c:v>
                </c:pt>
                <c:pt idx="4">
                  <c:v>0.27229999999999999</c:v>
                </c:pt>
                <c:pt idx="5">
                  <c:v>0.32700000000000001</c:v>
                </c:pt>
                <c:pt idx="6">
                  <c:v>0.33360000000000001</c:v>
                </c:pt>
                <c:pt idx="7">
                  <c:v>0.33279999999999998</c:v>
                </c:pt>
                <c:pt idx="8">
                  <c:v>0.41460000000000002</c:v>
                </c:pt>
                <c:pt idx="9">
                  <c:v>0.35820000000000002</c:v>
                </c:pt>
                <c:pt idx="10">
                  <c:v>0.33989999999999998</c:v>
                </c:pt>
                <c:pt idx="11">
                  <c:v>0.36220000000000002</c:v>
                </c:pt>
                <c:pt idx="12">
                  <c:v>0.31490000000000001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2-4837-B3E0-87F02B35EC38}"/>
            </c:ext>
          </c:extLst>
        </c:ser>
        <c:ser>
          <c:idx val="2"/>
          <c:order val="2"/>
          <c:tx>
            <c:strRef>
              <c:f>'Figure 6 updated'!$A$4</c:f>
              <c:strCache>
                <c:ptCount val="1"/>
                <c:pt idx="0">
                  <c:v>Estonia average</c:v>
                </c:pt>
              </c:strCache>
            </c:strRef>
          </c:tx>
          <c:marker>
            <c:symbol val="none"/>
          </c:marker>
          <c:cat>
            <c:numRef>
              <c:f>'Figure 6 updated'!$B$1:$S$1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'Figure 6 updated'!$B$4:$S$4</c:f>
              <c:numCache>
                <c:formatCode>0.000</c:formatCode>
                <c:ptCount val="13"/>
                <c:pt idx="0">
                  <c:v>0.24318381999999999</c:v>
                </c:pt>
                <c:pt idx="1">
                  <c:v>0.26855675000000001</c:v>
                </c:pt>
                <c:pt idx="2">
                  <c:v>0.29642223000000001</c:v>
                </c:pt>
                <c:pt idx="3">
                  <c:v>0.21007999999999999</c:v>
                </c:pt>
                <c:pt idx="4">
                  <c:v>0.27712999999999999</c:v>
                </c:pt>
                <c:pt idx="5">
                  <c:v>0.32273000000000002</c:v>
                </c:pt>
                <c:pt idx="6">
                  <c:v>0.29997000000000001</c:v>
                </c:pt>
                <c:pt idx="7">
                  <c:v>0.33811000000000002</c:v>
                </c:pt>
                <c:pt idx="8">
                  <c:v>0.32797999999999999</c:v>
                </c:pt>
                <c:pt idx="9">
                  <c:v>0.23693</c:v>
                </c:pt>
                <c:pt idx="10">
                  <c:v>0.23672000000000001</c:v>
                </c:pt>
                <c:pt idx="11">
                  <c:v>0.32669999999999999</c:v>
                </c:pt>
                <c:pt idx="12" formatCode="General">
                  <c:v>0.307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C2-4837-B3E0-87F02B35EC38}"/>
            </c:ext>
          </c:extLst>
        </c:ser>
        <c:ser>
          <c:idx val="3"/>
          <c:order val="3"/>
          <c:tx>
            <c:strRef>
              <c:f>'Figure 6 updated'!$A$5</c:f>
              <c:strCache>
                <c:ptCount val="1"/>
                <c:pt idx="0">
                  <c:v>Väätsa Agro AS average</c:v>
                </c:pt>
              </c:strCache>
            </c:strRef>
          </c:tx>
          <c:marker>
            <c:symbol val="none"/>
          </c:marker>
          <c:cat>
            <c:numRef>
              <c:f>'Figure 6 updated'!$B$1:$S$1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'Figure 6 updated'!$B$5:$S$5</c:f>
              <c:numCache>
                <c:formatCode>0.000</c:formatCode>
                <c:ptCount val="13"/>
                <c:pt idx="0">
                  <c:v>0.25053366226528445</c:v>
                </c:pt>
                <c:pt idx="1">
                  <c:v>0.27545920519473877</c:v>
                </c:pt>
                <c:pt idx="2">
                  <c:v>0.31124972837549375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C2-4837-B3E0-87F02B35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614736"/>
        <c:axId val="246615128"/>
      </c:lineChart>
      <c:catAx>
        <c:axId val="24661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615128"/>
        <c:crosses val="autoZero"/>
        <c:auto val="1"/>
        <c:lblAlgn val="ctr"/>
        <c:lblOffset val="100"/>
        <c:noMultiLvlLbl val="0"/>
      </c:catAx>
      <c:valAx>
        <c:axId val="246615128"/>
        <c:scaling>
          <c:orientation val="minMax"/>
          <c:min val="0.1500000000000000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EUR per kg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466147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27938</xdr:colOff>
      <xdr:row>4</xdr:row>
      <xdr:rowOff>106051</xdr:rowOff>
    </xdr:from>
    <xdr:to>
      <xdr:col>10</xdr:col>
      <xdr:colOff>539749</xdr:colOff>
      <xdr:row>19</xdr:row>
      <xdr:rowOff>106051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4</xdr:row>
      <xdr:rowOff>160020</xdr:rowOff>
    </xdr:from>
    <xdr:to>
      <xdr:col>13</xdr:col>
      <xdr:colOff>381000</xdr:colOff>
      <xdr:row>19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4</xdr:row>
      <xdr:rowOff>0</xdr:rowOff>
    </xdr:from>
    <xdr:to>
      <xdr:col>13</xdr:col>
      <xdr:colOff>409575</xdr:colOff>
      <xdr:row>18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106686</xdr:rowOff>
    </xdr:from>
    <xdr:to>
      <xdr:col>13</xdr:col>
      <xdr:colOff>114300</xdr:colOff>
      <xdr:row>23</xdr:row>
      <xdr:rowOff>68580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opLeftCell="B1" zoomScaleNormal="100" workbookViewId="0">
      <selection activeCell="R1" sqref="R1:R1048576"/>
    </sheetView>
  </sheetViews>
  <sheetFormatPr defaultRowHeight="14.5" x14ac:dyDescent="0.35"/>
  <cols>
    <col min="1" max="1" width="27.7265625" bestFit="1" customWidth="1"/>
  </cols>
  <sheetData>
    <row r="1" spans="1:18" x14ac:dyDescent="0.35">
      <c r="A1" s="24"/>
      <c r="B1" s="24">
        <v>2002</v>
      </c>
      <c r="C1" s="24">
        <v>2003</v>
      </c>
      <c r="D1" s="24">
        <v>2004</v>
      </c>
      <c r="E1" s="24">
        <v>2005</v>
      </c>
      <c r="F1" s="24">
        <v>2006</v>
      </c>
      <c r="G1" s="24">
        <v>2007</v>
      </c>
      <c r="H1" s="24">
        <v>2008</v>
      </c>
      <c r="I1" s="24">
        <v>2009</v>
      </c>
      <c r="J1" s="24">
        <v>2010</v>
      </c>
      <c r="K1" s="24">
        <v>2011</v>
      </c>
      <c r="L1" s="24">
        <v>2012</v>
      </c>
      <c r="M1" s="24">
        <v>2013</v>
      </c>
      <c r="N1" s="24">
        <v>2014</v>
      </c>
      <c r="O1" s="24">
        <v>2015</v>
      </c>
      <c r="P1" s="24">
        <v>2016</v>
      </c>
      <c r="Q1" s="24">
        <v>2017</v>
      </c>
      <c r="R1" s="24">
        <v>2018</v>
      </c>
    </row>
    <row r="2" spans="1:18" x14ac:dyDescent="0.35">
      <c r="A2" t="s">
        <v>71</v>
      </c>
      <c r="B2" s="25">
        <v>4004</v>
      </c>
      <c r="C2" s="25">
        <v>3796</v>
      </c>
      <c r="D2" s="25">
        <v>3664</v>
      </c>
      <c r="E2" s="25">
        <v>3904</v>
      </c>
      <c r="F2" s="25">
        <v>3889</v>
      </c>
      <c r="G2" s="25">
        <v>3739</v>
      </c>
      <c r="H2" s="25">
        <v>3692</v>
      </c>
      <c r="I2" s="25">
        <v>3531</v>
      </c>
      <c r="J2" s="25">
        <v>3369</v>
      </c>
      <c r="K2" s="25">
        <v>3288</v>
      </c>
      <c r="L2" s="25">
        <v>3414</v>
      </c>
      <c r="M2" s="25">
        <v>3701</v>
      </c>
      <c r="N2" s="31"/>
      <c r="O2" s="31"/>
      <c r="P2" s="31"/>
      <c r="Q2" s="31"/>
      <c r="R2" s="31"/>
    </row>
    <row r="3" spans="1:18" x14ac:dyDescent="0.35">
      <c r="A3" t="s">
        <v>72</v>
      </c>
      <c r="B3" s="25">
        <v>2030</v>
      </c>
      <c r="C3" s="25">
        <v>2031</v>
      </c>
      <c r="D3" s="25">
        <v>2013</v>
      </c>
      <c r="E3" s="25">
        <v>2015</v>
      </c>
      <c r="F3" s="25">
        <v>2112</v>
      </c>
      <c r="G3" s="25">
        <v>1977</v>
      </c>
      <c r="H3" s="25">
        <v>1977</v>
      </c>
      <c r="I3" s="25">
        <v>1742</v>
      </c>
      <c r="J3" s="25">
        <v>1658</v>
      </c>
      <c r="K3" s="25">
        <v>1685</v>
      </c>
      <c r="L3" s="25">
        <v>1740</v>
      </c>
      <c r="M3" s="25">
        <v>1860</v>
      </c>
      <c r="N3" s="25">
        <v>1837</v>
      </c>
      <c r="O3" s="25">
        <v>2017</v>
      </c>
      <c r="P3" s="25">
        <v>2230</v>
      </c>
      <c r="Q3" s="31"/>
      <c r="R3" s="31"/>
    </row>
    <row r="4" spans="1:18" x14ac:dyDescent="0.35">
      <c r="A4" t="s">
        <v>73</v>
      </c>
      <c r="B4" s="25">
        <v>4453</v>
      </c>
      <c r="C4" s="25">
        <v>3691</v>
      </c>
      <c r="D4" s="25">
        <v>2155</v>
      </c>
      <c r="E4" s="25">
        <v>2594</v>
      </c>
      <c r="F4" s="25">
        <v>1760</v>
      </c>
      <c r="G4" s="25">
        <v>2099</v>
      </c>
      <c r="H4" s="25">
        <v>1845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</row>
    <row r="6" spans="1:18" x14ac:dyDescent="0.35">
      <c r="N6" s="31" t="s">
        <v>84</v>
      </c>
    </row>
    <row r="21" spans="1:1" x14ac:dyDescent="0.35">
      <c r="A21" t="s">
        <v>85</v>
      </c>
    </row>
    <row r="22" spans="1:1" x14ac:dyDescent="0.35">
      <c r="A22" t="s">
        <v>86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opLeftCell="B1" zoomScaleNormal="100" workbookViewId="0">
      <selection activeCell="R1" sqref="R1:R1048576"/>
    </sheetView>
  </sheetViews>
  <sheetFormatPr defaultRowHeight="14.5" x14ac:dyDescent="0.35"/>
  <cols>
    <col min="1" max="1" width="23.81640625" customWidth="1"/>
  </cols>
  <sheetData>
    <row r="1" spans="1:18" x14ac:dyDescent="0.35">
      <c r="B1" s="26">
        <v>2002</v>
      </c>
      <c r="C1" s="26">
        <v>2003</v>
      </c>
      <c r="D1" s="26">
        <v>2004</v>
      </c>
      <c r="E1" s="26">
        <v>2005</v>
      </c>
      <c r="F1" s="26">
        <v>2006</v>
      </c>
      <c r="G1" s="26">
        <v>2007</v>
      </c>
      <c r="H1" s="26">
        <v>2008</v>
      </c>
      <c r="I1" s="26">
        <v>2009</v>
      </c>
      <c r="J1" s="26">
        <v>2010</v>
      </c>
      <c r="K1" s="26">
        <v>2011</v>
      </c>
      <c r="L1" s="26">
        <v>2012</v>
      </c>
      <c r="M1" s="26">
        <v>2013</v>
      </c>
      <c r="N1" s="26">
        <v>2014</v>
      </c>
      <c r="O1" s="26">
        <v>2015</v>
      </c>
      <c r="P1" s="24">
        <v>2016</v>
      </c>
      <c r="Q1" s="24">
        <v>2017</v>
      </c>
      <c r="R1" s="24">
        <v>2018</v>
      </c>
    </row>
    <row r="2" spans="1:18" x14ac:dyDescent="0.35">
      <c r="A2" s="27" t="s">
        <v>74</v>
      </c>
      <c r="B2" s="28">
        <v>14053</v>
      </c>
      <c r="C2" s="28">
        <v>13857</v>
      </c>
      <c r="D2" s="28">
        <v>14508</v>
      </c>
      <c r="E2" s="28">
        <v>15004</v>
      </c>
      <c r="F2" s="28">
        <v>16642</v>
      </c>
      <c r="G2" s="28">
        <v>15643</v>
      </c>
      <c r="H2" s="28">
        <v>15166</v>
      </c>
      <c r="I2" s="28">
        <v>12806</v>
      </c>
      <c r="J2" s="28">
        <v>13024</v>
      </c>
      <c r="K2" s="28">
        <v>12821</v>
      </c>
      <c r="L2" s="32"/>
      <c r="M2" s="32"/>
      <c r="N2" s="32"/>
      <c r="O2" s="32"/>
      <c r="P2" s="32"/>
      <c r="Q2" s="32"/>
      <c r="R2" s="32"/>
    </row>
    <row r="3" spans="1:18" x14ac:dyDescent="0.35">
      <c r="A3" s="27" t="s">
        <v>75</v>
      </c>
      <c r="B3" s="28">
        <v>7000</v>
      </c>
      <c r="C3" s="28">
        <v>6931</v>
      </c>
      <c r="D3" s="28">
        <v>7169</v>
      </c>
      <c r="E3" s="28">
        <v>7509</v>
      </c>
      <c r="F3" s="28">
        <v>7899</v>
      </c>
      <c r="G3" s="28">
        <v>7569</v>
      </c>
      <c r="H3" s="28">
        <v>7582</v>
      </c>
      <c r="I3" s="28">
        <v>6871</v>
      </c>
      <c r="J3" s="28">
        <v>7726</v>
      </c>
      <c r="K3" s="28">
        <v>7468</v>
      </c>
      <c r="L3" s="32"/>
      <c r="M3" s="32"/>
      <c r="N3" s="32"/>
      <c r="O3" s="32"/>
      <c r="P3" s="32"/>
      <c r="Q3" s="32"/>
      <c r="R3" s="32"/>
    </row>
    <row r="6" spans="1:18" x14ac:dyDescent="0.35">
      <c r="K6" s="31" t="s">
        <v>84</v>
      </c>
      <c r="N6" s="31" t="s">
        <v>84</v>
      </c>
    </row>
    <row r="21" spans="1:1" x14ac:dyDescent="0.35">
      <c r="A21" t="s">
        <v>87</v>
      </c>
    </row>
    <row r="22" spans="1:1" x14ac:dyDescent="0.35">
      <c r="A22" t="s">
        <v>86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P1" sqref="P1:P1048576"/>
    </sheetView>
  </sheetViews>
  <sheetFormatPr defaultRowHeight="14.5" x14ac:dyDescent="0.35"/>
  <cols>
    <col min="1" max="1" width="23.81640625" customWidth="1"/>
  </cols>
  <sheetData>
    <row r="1" spans="1:16" x14ac:dyDescent="0.35">
      <c r="B1" s="26">
        <v>2004</v>
      </c>
      <c r="C1" s="26">
        <v>2005</v>
      </c>
      <c r="D1" s="26">
        <v>2006</v>
      </c>
      <c r="E1" s="26">
        <v>2007</v>
      </c>
      <c r="F1" s="26">
        <v>2008</v>
      </c>
      <c r="G1" s="26">
        <v>2009</v>
      </c>
      <c r="H1" s="26">
        <v>2010</v>
      </c>
      <c r="I1" s="26">
        <v>2011</v>
      </c>
      <c r="J1" s="26">
        <v>2012</v>
      </c>
      <c r="K1" s="26">
        <v>2013</v>
      </c>
      <c r="L1" s="26">
        <v>2014</v>
      </c>
      <c r="M1" s="26">
        <v>2015</v>
      </c>
      <c r="N1" s="36">
        <v>2016</v>
      </c>
      <c r="O1" s="36">
        <v>2017</v>
      </c>
      <c r="P1" s="36">
        <v>2018</v>
      </c>
    </row>
    <row r="2" spans="1:16" x14ac:dyDescent="0.35">
      <c r="A2" s="27" t="s">
        <v>74</v>
      </c>
      <c r="B2" s="28">
        <v>652400</v>
      </c>
      <c r="C2" s="28">
        <v>670427</v>
      </c>
      <c r="D2" s="33">
        <v>691966</v>
      </c>
      <c r="E2" s="28">
        <v>692416</v>
      </c>
      <c r="F2" s="28">
        <v>694203</v>
      </c>
      <c r="G2" s="28">
        <v>671031</v>
      </c>
      <c r="H2" s="28">
        <v>675970</v>
      </c>
      <c r="I2" s="28">
        <v>692987</v>
      </c>
      <c r="J2" s="28">
        <v>721246</v>
      </c>
      <c r="K2" s="28">
        <v>771632</v>
      </c>
      <c r="L2" s="28">
        <v>805165</v>
      </c>
      <c r="M2" s="28">
        <v>783172</v>
      </c>
      <c r="N2" s="28">
        <v>783155</v>
      </c>
      <c r="O2" s="28">
        <v>791830</v>
      </c>
      <c r="P2" s="28">
        <v>797600</v>
      </c>
    </row>
    <row r="3" spans="1:16" x14ac:dyDescent="0.35">
      <c r="A3" s="27" t="s">
        <v>76</v>
      </c>
      <c r="B3" s="28">
        <v>5528</v>
      </c>
      <c r="C3" s="28">
        <v>5886</v>
      </c>
      <c r="D3" s="28">
        <v>6285</v>
      </c>
      <c r="E3" s="28">
        <v>6484</v>
      </c>
      <c r="F3" s="28">
        <v>6781</v>
      </c>
      <c r="G3" s="28">
        <v>6838</v>
      </c>
      <c r="H3" s="28">
        <v>7021</v>
      </c>
      <c r="I3" s="28">
        <v>7168</v>
      </c>
      <c r="J3" s="28">
        <v>7526</v>
      </c>
      <c r="K3" s="28">
        <v>7990</v>
      </c>
      <c r="L3" s="28">
        <v>8233</v>
      </c>
      <c r="M3" s="28">
        <v>8442</v>
      </c>
      <c r="N3" s="28">
        <v>8878</v>
      </c>
      <c r="O3" s="28">
        <v>9160</v>
      </c>
      <c r="P3" s="28">
        <v>9287</v>
      </c>
    </row>
    <row r="20" spans="1:1" x14ac:dyDescent="0.35">
      <c r="A20" t="s">
        <v>89</v>
      </c>
    </row>
    <row r="21" spans="1:1" x14ac:dyDescent="0.35">
      <c r="A21" s="29" t="s">
        <v>77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zoomScaleNormal="100" workbookViewId="0">
      <selection activeCell="R1" sqref="R1:S5"/>
    </sheetView>
  </sheetViews>
  <sheetFormatPr defaultRowHeight="14.5" outlineLevelCol="1" x14ac:dyDescent="0.35"/>
  <cols>
    <col min="1" max="1" width="20.26953125" bestFit="1" customWidth="1"/>
    <col min="2" max="2" width="10" hidden="1" customWidth="1" outlineLevel="1"/>
    <col min="3" max="6" width="10.453125" hidden="1" customWidth="1" outlineLevel="1"/>
    <col min="7" max="7" width="10.453125" bestFit="1" customWidth="1" collapsed="1"/>
    <col min="8" max="9" width="10.453125" bestFit="1" customWidth="1"/>
    <col min="10" max="10" width="11.26953125" customWidth="1"/>
  </cols>
  <sheetData>
    <row r="1" spans="1:19" x14ac:dyDescent="0.35">
      <c r="A1" s="27"/>
      <c r="B1" s="26">
        <v>2001</v>
      </c>
      <c r="C1" s="26">
        <v>2002</v>
      </c>
      <c r="D1" s="26">
        <f t="shared" ref="D1:I1" si="0">C1+1</f>
        <v>2003</v>
      </c>
      <c r="E1" s="26">
        <f t="shared" si="0"/>
        <v>2004</v>
      </c>
      <c r="F1" s="26">
        <f t="shared" si="0"/>
        <v>2005</v>
      </c>
      <c r="G1" s="26">
        <f t="shared" si="0"/>
        <v>2006</v>
      </c>
      <c r="H1" s="26">
        <f t="shared" si="0"/>
        <v>2007</v>
      </c>
      <c r="I1" s="26">
        <f t="shared" si="0"/>
        <v>2008</v>
      </c>
      <c r="J1" s="26">
        <v>2009</v>
      </c>
      <c r="K1" s="26">
        <v>2010</v>
      </c>
      <c r="L1" s="26">
        <v>2011</v>
      </c>
      <c r="M1" s="26">
        <v>2012</v>
      </c>
      <c r="N1" s="26">
        <v>2013</v>
      </c>
      <c r="O1" s="26">
        <v>2014</v>
      </c>
      <c r="P1" s="26">
        <v>2015</v>
      </c>
      <c r="Q1" s="36">
        <v>2016</v>
      </c>
      <c r="R1" s="36">
        <v>2017</v>
      </c>
      <c r="S1" s="36">
        <v>2018</v>
      </c>
    </row>
    <row r="2" spans="1:19" x14ac:dyDescent="0.35">
      <c r="A2" s="27" t="s">
        <v>78</v>
      </c>
      <c r="B2" s="30">
        <v>0.32669999999999999</v>
      </c>
      <c r="C2" s="30">
        <v>0.30959999999999999</v>
      </c>
      <c r="D2" s="30">
        <v>0.30099999999999999</v>
      </c>
      <c r="E2" s="30">
        <v>0.29699999999999999</v>
      </c>
      <c r="F2" s="30">
        <v>0.28920000000000001</v>
      </c>
      <c r="G2" s="30">
        <v>0.28339999999999999</v>
      </c>
      <c r="H2" s="30">
        <v>0.32520000000000004</v>
      </c>
      <c r="I2" s="30">
        <v>0.34960000000000002</v>
      </c>
      <c r="J2" s="30">
        <v>0.27379999999999999</v>
      </c>
      <c r="K2" s="30">
        <v>0.31459999999999999</v>
      </c>
      <c r="L2" s="30">
        <v>0.35039999999999999</v>
      </c>
      <c r="M2" s="30">
        <v>0.33729999999999999</v>
      </c>
      <c r="N2" s="30">
        <v>0.37959999999999999</v>
      </c>
      <c r="O2" s="30">
        <v>0.38619999999999999</v>
      </c>
      <c r="P2" s="30">
        <v>0.31269999999999998</v>
      </c>
      <c r="Q2" s="30">
        <v>0.28299999999999997</v>
      </c>
      <c r="R2" s="30">
        <v>0.35239999999999999</v>
      </c>
      <c r="S2" s="30">
        <v>0.34229999999999999</v>
      </c>
    </row>
    <row r="3" spans="1:19" x14ac:dyDescent="0.35">
      <c r="A3" s="27" t="s">
        <v>79</v>
      </c>
      <c r="B3" s="30">
        <v>0.36890000000000001</v>
      </c>
      <c r="C3" s="30">
        <v>0.2772</v>
      </c>
      <c r="D3" s="30">
        <v>0.25040000000000001</v>
      </c>
      <c r="E3" s="30">
        <v>0.31329999999999997</v>
      </c>
      <c r="F3" s="30">
        <v>0.28160000000000002</v>
      </c>
      <c r="G3" s="30">
        <v>0.23469999999999999</v>
      </c>
      <c r="H3" s="30">
        <v>0.32119999999999999</v>
      </c>
      <c r="I3" s="30">
        <v>0.29370000000000002</v>
      </c>
      <c r="J3" s="30">
        <v>0.2024</v>
      </c>
      <c r="K3" s="30">
        <v>0.27229999999999999</v>
      </c>
      <c r="L3" s="30">
        <v>0.32700000000000001</v>
      </c>
      <c r="M3" s="30">
        <v>0.33360000000000001</v>
      </c>
      <c r="N3" s="30">
        <v>0.33279999999999998</v>
      </c>
      <c r="O3" s="30">
        <v>0.41460000000000002</v>
      </c>
      <c r="P3" s="30">
        <v>0.35820000000000002</v>
      </c>
      <c r="Q3" s="30">
        <v>0.33989999999999998</v>
      </c>
      <c r="R3" s="30">
        <f>0.3622</f>
        <v>0.36220000000000002</v>
      </c>
      <c r="S3" s="30">
        <f>0.3149</f>
        <v>0.31490000000000001</v>
      </c>
    </row>
    <row r="4" spans="1:19" x14ac:dyDescent="0.35">
      <c r="A4" s="27" t="s">
        <v>80</v>
      </c>
      <c r="B4" s="30"/>
      <c r="C4" s="30"/>
      <c r="D4" s="30">
        <v>0.18419337</v>
      </c>
      <c r="E4" s="30">
        <v>0.24529291</v>
      </c>
      <c r="F4" s="30">
        <v>0.25404880000000002</v>
      </c>
      <c r="G4" s="30">
        <v>0.24318381999999999</v>
      </c>
      <c r="H4" s="30">
        <v>0.26855675000000001</v>
      </c>
      <c r="I4" s="30">
        <v>0.29642223000000001</v>
      </c>
      <c r="J4" s="30">
        <v>0.21007999999999999</v>
      </c>
      <c r="K4" s="30">
        <v>0.27712999999999999</v>
      </c>
      <c r="L4" s="30">
        <v>0.32273000000000002</v>
      </c>
      <c r="M4" s="30">
        <v>0.29997000000000001</v>
      </c>
      <c r="N4" s="30">
        <v>0.33811000000000002</v>
      </c>
      <c r="O4" s="30">
        <v>0.32797999999999999</v>
      </c>
      <c r="P4" s="30">
        <v>0.23693</v>
      </c>
      <c r="Q4" s="30">
        <v>0.23672000000000001</v>
      </c>
      <c r="R4" s="30">
        <v>0.32669999999999999</v>
      </c>
      <c r="S4" s="38">
        <v>0.307</v>
      </c>
    </row>
    <row r="5" spans="1:19" x14ac:dyDescent="0.35">
      <c r="A5" s="27" t="s">
        <v>81</v>
      </c>
      <c r="B5" s="30">
        <v>0.18981759615507524</v>
      </c>
      <c r="C5" s="30">
        <v>0.18342643130136901</v>
      </c>
      <c r="D5" s="30">
        <v>0.21090844017230581</v>
      </c>
      <c r="E5" s="30">
        <v>0.25564659414824947</v>
      </c>
      <c r="F5" s="30">
        <v>0.26331599197269695</v>
      </c>
      <c r="G5" s="30">
        <v>0.25053366226528445</v>
      </c>
      <c r="H5" s="30">
        <v>0.27545920519473877</v>
      </c>
      <c r="I5" s="30">
        <v>0.31124972837549375</v>
      </c>
      <c r="J5" s="34"/>
      <c r="K5" s="35"/>
      <c r="L5" s="35"/>
      <c r="M5" s="35"/>
      <c r="N5" s="35"/>
      <c r="O5" s="35"/>
      <c r="P5" s="35"/>
      <c r="Q5" s="35"/>
      <c r="R5" s="35"/>
      <c r="S5" s="35"/>
    </row>
    <row r="25" spans="1:8" x14ac:dyDescent="0.35">
      <c r="A25" t="s">
        <v>82</v>
      </c>
    </row>
    <row r="26" spans="1:8" ht="45" customHeight="1" x14ac:dyDescent="0.35">
      <c r="A26" s="37" t="s">
        <v>83</v>
      </c>
      <c r="B26" s="37"/>
      <c r="C26" s="37"/>
      <c r="D26" s="37"/>
      <c r="E26" s="37"/>
      <c r="F26" s="37"/>
      <c r="G26" s="37"/>
      <c r="H26" s="37"/>
    </row>
  </sheetData>
  <mergeCells count="1">
    <mergeCell ref="A26:H26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O1" sqref="O1:O1048576"/>
    </sheetView>
  </sheetViews>
  <sheetFormatPr defaultColWidth="8.81640625" defaultRowHeight="12.5" x14ac:dyDescent="0.25"/>
  <cols>
    <col min="1" max="1" width="39.7265625" style="2" bestFit="1" customWidth="1"/>
    <col min="2" max="4" width="8.81640625" style="2"/>
    <col min="5" max="15" width="9.1796875" style="2" customWidth="1"/>
    <col min="16" max="16384" width="8.81640625" style="2"/>
  </cols>
  <sheetData>
    <row r="1" spans="1:15" ht="13" x14ac:dyDescent="0.3">
      <c r="A1" s="1" t="s">
        <v>0</v>
      </c>
    </row>
    <row r="2" spans="1:15" ht="13" x14ac:dyDescent="0.3">
      <c r="A2" s="3" t="s">
        <v>1</v>
      </c>
      <c r="B2" s="4">
        <v>2005</v>
      </c>
      <c r="C2" s="5">
        <v>2006</v>
      </c>
      <c r="D2" s="4">
        <v>2007</v>
      </c>
      <c r="E2" s="5">
        <v>2008</v>
      </c>
      <c r="F2" s="5">
        <v>2009</v>
      </c>
      <c r="G2" s="5">
        <v>2010</v>
      </c>
      <c r="H2" s="5">
        <v>2011</v>
      </c>
      <c r="I2" s="5">
        <v>2012</v>
      </c>
      <c r="J2" s="5">
        <v>2013</v>
      </c>
      <c r="K2" s="5">
        <v>2014</v>
      </c>
      <c r="L2" s="5">
        <v>2015</v>
      </c>
      <c r="M2" s="5">
        <v>2016</v>
      </c>
      <c r="N2" s="5">
        <v>2017</v>
      </c>
      <c r="O2" s="5">
        <v>2018</v>
      </c>
    </row>
    <row r="3" spans="1:15" x14ac:dyDescent="0.25">
      <c r="A3" s="6" t="s">
        <v>2</v>
      </c>
      <c r="B3" s="7">
        <v>4749.3528945585631</v>
      </c>
      <c r="C3" s="8">
        <v>5498.9163140874052</v>
      </c>
      <c r="D3" s="7">
        <v>5159.4595630999711</v>
      </c>
      <c r="E3" s="8">
        <v>5911.6357547326579</v>
      </c>
      <c r="F3" s="8">
        <f>52585/15.6466</f>
        <v>3360.7940383214245</v>
      </c>
      <c r="G3" s="8">
        <f>62510/15.6466</f>
        <v>3995.1171500517685</v>
      </c>
      <c r="H3" s="8">
        <v>4589.2520000000004</v>
      </c>
      <c r="I3" s="8">
        <v>4566.3500000000004</v>
      </c>
      <c r="J3" s="8">
        <v>6063</v>
      </c>
      <c r="K3" s="8">
        <v>6466</v>
      </c>
      <c r="L3" s="8">
        <v>5978.5110000000004</v>
      </c>
      <c r="M3" s="8">
        <v>6373.1980000000003</v>
      </c>
      <c r="N3" s="8">
        <v>8853</v>
      </c>
      <c r="O3" s="8">
        <v>9603</v>
      </c>
    </row>
    <row r="4" spans="1:15" x14ac:dyDescent="0.25">
      <c r="A4" s="6" t="s">
        <v>3</v>
      </c>
      <c r="B4" s="7">
        <v>626.39218744008281</v>
      </c>
      <c r="C4" s="8">
        <v>839.94816765303653</v>
      </c>
      <c r="D4" s="7">
        <v>1025.9097823169252</v>
      </c>
      <c r="E4" s="8">
        <v>1135.390436260913</v>
      </c>
      <c r="F4" s="8">
        <f>(13643)/15.6466</f>
        <v>871.94662099114191</v>
      </c>
      <c r="G4" s="8">
        <f>15863/15.6466</f>
        <v>1013.8304807434204</v>
      </c>
      <c r="H4" s="8">
        <f>1048.976</f>
        <v>1048.9760000000001</v>
      </c>
      <c r="I4" s="8">
        <v>1011.602</v>
      </c>
      <c r="J4" s="8">
        <v>999</v>
      </c>
      <c r="K4" s="8">
        <v>692</v>
      </c>
      <c r="L4" s="8">
        <v>998.44399999999996</v>
      </c>
      <c r="M4" s="8">
        <v>758</v>
      </c>
      <c r="N4" s="8">
        <v>1378</v>
      </c>
      <c r="O4" s="8">
        <v>1036</v>
      </c>
    </row>
    <row r="5" spans="1:15" x14ac:dyDescent="0.25">
      <c r="A5" s="6" t="s">
        <v>4</v>
      </c>
      <c r="B5" s="7">
        <v>48.646543018930636</v>
      </c>
      <c r="C5" s="8">
        <v>66.698963353060734</v>
      </c>
      <c r="D5" s="7">
        <v>114.21011593573046</v>
      </c>
      <c r="E5" s="8">
        <v>157.47830199532169</v>
      </c>
      <c r="F5" s="8">
        <f>14450/15.6466-F4</f>
        <v>51.576700369409309</v>
      </c>
      <c r="G5" s="8">
        <f>16629/15.6466-G4</f>
        <v>48.956322779389666</v>
      </c>
      <c r="H5" s="8">
        <f>1423.176-H4</f>
        <v>374.19999999999982</v>
      </c>
      <c r="I5" s="8">
        <f>1073.181-I4</f>
        <v>61.579000000000065</v>
      </c>
      <c r="J5" s="8">
        <f>1042-J4</f>
        <v>43</v>
      </c>
      <c r="K5" s="8">
        <f>56+2</f>
        <v>58</v>
      </c>
      <c r="L5" s="8">
        <f>180.81+62.612</f>
        <v>243.422</v>
      </c>
      <c r="M5" s="8">
        <f>28+91</f>
        <v>119</v>
      </c>
      <c r="N5" s="8">
        <f>200+7</f>
        <v>207</v>
      </c>
      <c r="O5" s="8">
        <f>228+7</f>
        <v>235</v>
      </c>
    </row>
    <row r="6" spans="1:15" ht="13" x14ac:dyDescent="0.3">
      <c r="A6" s="9" t="s">
        <v>5</v>
      </c>
      <c r="B6" s="10">
        <f t="shared" ref="B6:J6" si="0">SUM(B3:B5)</f>
        <v>5424.3916250175771</v>
      </c>
      <c r="C6" s="11">
        <f t="shared" si="0"/>
        <v>6405.5634450935031</v>
      </c>
      <c r="D6" s="10">
        <f t="shared" si="0"/>
        <v>6299.5794613526268</v>
      </c>
      <c r="E6" s="11">
        <f t="shared" si="0"/>
        <v>7204.5044929888927</v>
      </c>
      <c r="F6" s="11">
        <f t="shared" si="0"/>
        <v>4284.3173596819752</v>
      </c>
      <c r="G6" s="11">
        <f t="shared" si="0"/>
        <v>5057.9039535745787</v>
      </c>
      <c r="H6" s="11">
        <f t="shared" si="0"/>
        <v>6012.4280000000008</v>
      </c>
      <c r="I6" s="11">
        <f t="shared" si="0"/>
        <v>5639.5309999999999</v>
      </c>
      <c r="J6" s="11">
        <f t="shared" si="0"/>
        <v>7105</v>
      </c>
      <c r="K6" s="11">
        <f t="shared" ref="K6:L6" si="1">SUM(K3:K5)</f>
        <v>7216</v>
      </c>
      <c r="L6" s="11">
        <f t="shared" si="1"/>
        <v>7220.3769999999995</v>
      </c>
      <c r="M6" s="11">
        <f t="shared" ref="M6:N6" si="2">SUM(M3:M5)</f>
        <v>7250.1980000000003</v>
      </c>
      <c r="N6" s="11">
        <f t="shared" si="2"/>
        <v>10438</v>
      </c>
      <c r="O6" s="11">
        <f t="shared" ref="O6" si="3">SUM(O3:O5)</f>
        <v>10874</v>
      </c>
    </row>
    <row r="7" spans="1:15" ht="13" x14ac:dyDescent="0.3">
      <c r="A7" s="9"/>
      <c r="C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6" t="s">
        <v>6</v>
      </c>
      <c r="B8" s="7">
        <v>221.83969680313933</v>
      </c>
      <c r="C8" s="8">
        <v>-247.50067107230964</v>
      </c>
      <c r="D8" s="7">
        <v>544.3355105901602</v>
      </c>
      <c r="E8" s="8">
        <v>298.0200171283218</v>
      </c>
      <c r="F8" s="8">
        <f>(2694-11271)/15.6466</f>
        <v>-548.17020950238395</v>
      </c>
      <c r="G8" s="8">
        <f>(785+3086)/15.6466</f>
        <v>247.40199148696843</v>
      </c>
      <c r="H8" s="8">
        <f>71.364-210.655</f>
        <v>-139.291</v>
      </c>
      <c r="I8" s="8">
        <f>-117.19+52.319</f>
        <v>-64.870999999999995</v>
      </c>
      <c r="J8" s="8">
        <v>-226</v>
      </c>
      <c r="K8" s="8">
        <v>-139</v>
      </c>
      <c r="L8" s="8">
        <v>-518.875</v>
      </c>
      <c r="M8" s="8">
        <v>-724</v>
      </c>
      <c r="N8" s="8">
        <v>40</v>
      </c>
      <c r="O8" s="8">
        <v>-672</v>
      </c>
    </row>
    <row r="9" spans="1:15" x14ac:dyDescent="0.25">
      <c r="A9" s="6" t="s">
        <v>7</v>
      </c>
      <c r="B9" s="7">
        <v>565.21761916326875</v>
      </c>
      <c r="C9" s="8">
        <v>232.52879219766595</v>
      </c>
      <c r="D9" s="7">
        <v>729.10408651080752</v>
      </c>
      <c r="E9" s="8">
        <v>-271.81624122812627</v>
      </c>
      <c r="F9" s="8">
        <f>-4880/15.6466</f>
        <v>-311.88884486086437</v>
      </c>
      <c r="G9" s="8">
        <f>-2886/15.6466</f>
        <v>-184.44901767796199</v>
      </c>
      <c r="H9" s="8">
        <v>-42.542000000000002</v>
      </c>
      <c r="I9" s="8">
        <v>-55.77</v>
      </c>
      <c r="J9" s="8">
        <v>-52</v>
      </c>
      <c r="K9" s="8">
        <v>197</v>
      </c>
      <c r="L9" s="8">
        <v>231.95400000000001</v>
      </c>
      <c r="M9" s="8">
        <v>-23</v>
      </c>
      <c r="N9" s="8">
        <v>321</v>
      </c>
      <c r="O9" s="8">
        <v>-0.5</v>
      </c>
    </row>
    <row r="10" spans="1:15" x14ac:dyDescent="0.25">
      <c r="A10" s="6" t="s">
        <v>8</v>
      </c>
      <c r="B10" s="7">
        <v>1145.4045607352398</v>
      </c>
      <c r="C10" s="8">
        <v>143.53731801158079</v>
      </c>
      <c r="D10" s="7">
        <v>221.1343039382358</v>
      </c>
      <c r="E10" s="8">
        <v>79.889560671327956</v>
      </c>
      <c r="F10" s="8">
        <f>721/15.6466</f>
        <v>46.080298595221969</v>
      </c>
      <c r="G10" s="8">
        <f>393/15.6466</f>
        <v>25.117277875065511</v>
      </c>
      <c r="H10" s="8">
        <v>19.492000000000001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/>
      <c r="O10" s="8"/>
    </row>
    <row r="11" spans="1:15" ht="13" x14ac:dyDescent="0.3">
      <c r="A11" s="9"/>
      <c r="C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6" t="s">
        <v>9</v>
      </c>
      <c r="B12" s="7">
        <v>-3913.5984814592312</v>
      </c>
      <c r="C12" s="8">
        <v>-3358.9838686999096</v>
      </c>
      <c r="D12" s="7">
        <v>-3694.6684902790385</v>
      </c>
      <c r="E12" s="8">
        <v>-4398.2079173750208</v>
      </c>
      <c r="F12" s="8">
        <f>-33811/15.6466</f>
        <v>-2160.9167486866158</v>
      </c>
      <c r="G12" s="8">
        <f>-41060/15.6466</f>
        <v>-2624.2122889317807</v>
      </c>
      <c r="H12" s="8">
        <v>-3050.1790000000001</v>
      </c>
      <c r="I12" s="8">
        <v>-3563.2289999999998</v>
      </c>
      <c r="J12" s="8">
        <v>-3607</v>
      </c>
      <c r="K12" s="8">
        <v>-3756</v>
      </c>
      <c r="L12" s="8">
        <v>-3726.2669999999998</v>
      </c>
      <c r="M12" s="8">
        <v>-4001</v>
      </c>
      <c r="N12" s="8">
        <v>-4497</v>
      </c>
      <c r="O12" s="8">
        <v>-4644</v>
      </c>
    </row>
    <row r="13" spans="1:15" x14ac:dyDescent="0.25">
      <c r="A13" s="6" t="s">
        <v>10</v>
      </c>
      <c r="B13" s="7">
        <v>-148.25201641251135</v>
      </c>
      <c r="C13" s="8">
        <v>-175.21525443227284</v>
      </c>
      <c r="D13" s="7">
        <v>-340.96864494522771</v>
      </c>
      <c r="E13" s="8">
        <v>-272.19971111934865</v>
      </c>
      <c r="F13" s="8">
        <f>-2756/15.6466</f>
        <v>-176.1405033681439</v>
      </c>
      <c r="G13" s="8">
        <f>-3191/15.6466</f>
        <v>-203.94207048176602</v>
      </c>
      <c r="H13" s="8">
        <v>-145.22399999999999</v>
      </c>
      <c r="I13" s="8">
        <v>-191.04599999999999</v>
      </c>
      <c r="J13" s="8">
        <v>-296</v>
      </c>
      <c r="K13" s="8">
        <v>-339</v>
      </c>
      <c r="L13" s="8">
        <v>-445.94799999999998</v>
      </c>
      <c r="M13" s="8">
        <v>-421</v>
      </c>
      <c r="N13" s="8">
        <v>-389</v>
      </c>
      <c r="O13" s="8">
        <v>-369</v>
      </c>
    </row>
    <row r="14" spans="1:15" x14ac:dyDescent="0.25">
      <c r="A14" s="6" t="s">
        <v>11</v>
      </c>
      <c r="B14" s="7">
        <v>-1608.140107115923</v>
      </c>
      <c r="C14" s="8">
        <v>-1607.6621758081628</v>
      </c>
      <c r="D14" s="7">
        <v>-1674.4212800224971</v>
      </c>
      <c r="E14" s="8">
        <v>-1976.9151125484132</v>
      </c>
      <c r="F14" s="8">
        <f>-26755/15.6466</f>
        <v>-1709.9561566091036</v>
      </c>
      <c r="G14" s="8">
        <f>-25367/15.6466</f>
        <v>-1621.246788439661</v>
      </c>
      <c r="H14" s="8">
        <v>-1527.0509999999999</v>
      </c>
      <c r="I14" s="8">
        <v>-1693.0250000000001</v>
      </c>
      <c r="J14" s="8">
        <v>-1754</v>
      </c>
      <c r="K14" s="8">
        <v>-1805</v>
      </c>
      <c r="L14" s="8">
        <v>-1547.434</v>
      </c>
      <c r="M14" s="8">
        <v>-1621</v>
      </c>
      <c r="N14" s="8">
        <v>-1784</v>
      </c>
      <c r="O14" s="8">
        <v>-1934</v>
      </c>
    </row>
    <row r="15" spans="1:15" x14ac:dyDescent="0.25">
      <c r="A15" s="6" t="s">
        <v>12</v>
      </c>
      <c r="B15" s="7">
        <v>-486.17143660603585</v>
      </c>
      <c r="C15" s="8">
        <v>-644.5963979394885</v>
      </c>
      <c r="D15" s="7">
        <v>-845.03981695703862</v>
      </c>
      <c r="E15" s="8">
        <v>-935.09132974575948</v>
      </c>
      <c r="F15" s="8">
        <f>-12450/15.6466</f>
        <v>-795.70002428642647</v>
      </c>
      <c r="G15" s="8">
        <f>-11450/15.6466</f>
        <v>-731.78837574936415</v>
      </c>
      <c r="H15" s="8">
        <v>-465.83600000000001</v>
      </c>
      <c r="I15" s="8">
        <v>-447.72699999999998</v>
      </c>
      <c r="J15" s="8">
        <v>-456</v>
      </c>
      <c r="K15" s="8">
        <v>-592</v>
      </c>
      <c r="L15" s="8">
        <v>-866.71699999999998</v>
      </c>
      <c r="M15" s="8">
        <v>-883</v>
      </c>
      <c r="N15" s="8">
        <v>-924</v>
      </c>
      <c r="O15" s="8">
        <v>-950</v>
      </c>
    </row>
    <row r="16" spans="1:15" x14ac:dyDescent="0.25">
      <c r="A16" s="6" t="s">
        <v>13</v>
      </c>
      <c r="B16" s="7">
        <v>-22.124678843966102</v>
      </c>
      <c r="C16" s="8">
        <v>-16.08956578425984</v>
      </c>
      <c r="D16" s="7">
        <v>-20.899109071619396</v>
      </c>
      <c r="E16" s="8">
        <v>-40.008691984201043</v>
      </c>
      <c r="F16" s="8">
        <f>-570/15.6466</f>
        <v>-36.429639666125553</v>
      </c>
      <c r="G16" s="8">
        <f>-1193/15.6466</f>
        <v>-76.246596704715401</v>
      </c>
      <c r="H16" s="8">
        <v>-158.05500000000001</v>
      </c>
      <c r="I16" s="8">
        <v>-53.15</v>
      </c>
      <c r="J16" s="8">
        <v>-18</v>
      </c>
      <c r="K16" s="8">
        <v>-62</v>
      </c>
      <c r="L16" s="8">
        <v>-10.291</v>
      </c>
      <c r="M16" s="8">
        <v>-1</v>
      </c>
      <c r="N16" s="8">
        <v>-11</v>
      </c>
      <c r="O16" s="8">
        <v>-40</v>
      </c>
    </row>
    <row r="17" spans="1:15" ht="13" x14ac:dyDescent="0.3">
      <c r="A17" s="9" t="s">
        <v>14</v>
      </c>
      <c r="B17" s="10">
        <f t="shared" ref="B17:J17" si="4">SUM(B12:B16)</f>
        <v>-6178.2867204376671</v>
      </c>
      <c r="C17" s="11">
        <f t="shared" si="4"/>
        <v>-5802.547262664094</v>
      </c>
      <c r="D17" s="10">
        <f t="shared" si="4"/>
        <v>-6575.9973412754216</v>
      </c>
      <c r="E17" s="11">
        <f t="shared" si="4"/>
        <v>-7622.4227627727423</v>
      </c>
      <c r="F17" s="11">
        <f t="shared" si="4"/>
        <v>-4879.1430726164153</v>
      </c>
      <c r="G17" s="11">
        <f t="shared" si="4"/>
        <v>-5257.4361203072876</v>
      </c>
      <c r="H17" s="11">
        <f t="shared" si="4"/>
        <v>-5346.3450000000003</v>
      </c>
      <c r="I17" s="11">
        <f t="shared" si="4"/>
        <v>-5948.1769999999988</v>
      </c>
      <c r="J17" s="11">
        <f t="shared" si="4"/>
        <v>-6131</v>
      </c>
      <c r="K17" s="11">
        <f t="shared" ref="K17:L17" si="5">SUM(K12:K16)</f>
        <v>-6554</v>
      </c>
      <c r="L17" s="11">
        <f t="shared" si="5"/>
        <v>-6596.6570000000002</v>
      </c>
      <c r="M17" s="11">
        <f t="shared" ref="M17:N17" si="6">SUM(M12:M16)</f>
        <v>-6927</v>
      </c>
      <c r="N17" s="11">
        <f t="shared" si="6"/>
        <v>-7605</v>
      </c>
      <c r="O17" s="11">
        <f t="shared" ref="O17" si="7">SUM(O12:O16)</f>
        <v>-7937</v>
      </c>
    </row>
    <row r="18" spans="1:15" ht="13" x14ac:dyDescent="0.3">
      <c r="A18" s="9"/>
      <c r="C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3" x14ac:dyDescent="0.3">
      <c r="A19" s="9" t="s">
        <v>15</v>
      </c>
      <c r="B19" s="10">
        <f t="shared" ref="B19:J19" si="8">B6+SUM(B8:B10,B17)</f>
        <v>1178.5667812815573</v>
      </c>
      <c r="C19" s="11">
        <f t="shared" si="8"/>
        <v>731.58162156634626</v>
      </c>
      <c r="D19" s="10">
        <f t="shared" si="8"/>
        <v>1218.1560211164087</v>
      </c>
      <c r="E19" s="11">
        <f t="shared" si="8"/>
        <v>-311.82493321232596</v>
      </c>
      <c r="F19" s="11">
        <f t="shared" si="8"/>
        <v>-1408.8044687024667</v>
      </c>
      <c r="G19" s="11">
        <f t="shared" si="8"/>
        <v>-111.46191504863691</v>
      </c>
      <c r="H19" s="11">
        <f t="shared" si="8"/>
        <v>503.74200000000019</v>
      </c>
      <c r="I19" s="11">
        <f t="shared" si="8"/>
        <v>-429.28699999999844</v>
      </c>
      <c r="J19" s="11">
        <f t="shared" si="8"/>
        <v>696</v>
      </c>
      <c r="K19" s="11">
        <f t="shared" ref="K19:L19" si="9">K6+SUM(K8:K10,K17)</f>
        <v>720</v>
      </c>
      <c r="L19" s="11">
        <f t="shared" si="9"/>
        <v>336.79899999999907</v>
      </c>
      <c r="M19" s="11">
        <f t="shared" ref="M19:N19" si="10">M6+SUM(M8:M10,M17)</f>
        <v>-423.80199999999968</v>
      </c>
      <c r="N19" s="11">
        <f t="shared" si="10"/>
        <v>3194</v>
      </c>
      <c r="O19" s="11">
        <f t="shared" ref="O19" si="11">O6+SUM(O8:O10,O17)</f>
        <v>2264.5</v>
      </c>
    </row>
    <row r="20" spans="1:15" ht="13" x14ac:dyDescent="0.3">
      <c r="A20" s="9"/>
      <c r="C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6" t="s">
        <v>16</v>
      </c>
      <c r="B21" s="7">
        <v>-115.29546355118684</v>
      </c>
      <c r="C21" s="8">
        <v>-152.11477253844288</v>
      </c>
      <c r="D21" s="7">
        <v>-477.29219127478177</v>
      </c>
      <c r="E21" s="8">
        <v>-849.32189740902174</v>
      </c>
      <c r="F21" s="8">
        <f>-7540/15.6466</f>
        <v>-481.89382996945022</v>
      </c>
      <c r="G21" s="8">
        <f>-1251/15.6466</f>
        <v>-79.953472319865028</v>
      </c>
      <c r="H21" s="8">
        <v>-45.14</v>
      </c>
      <c r="I21" s="8">
        <v>-287.608</v>
      </c>
      <c r="J21" s="8">
        <v>-362</v>
      </c>
      <c r="K21" s="8">
        <v>-685</v>
      </c>
      <c r="L21" s="8">
        <v>-793.97199999999998</v>
      </c>
      <c r="M21" s="8">
        <v>-762</v>
      </c>
      <c r="N21" s="8">
        <v>-734</v>
      </c>
      <c r="O21" s="8">
        <v>-349</v>
      </c>
    </row>
    <row r="22" spans="1:15" x14ac:dyDescent="0.25">
      <c r="A22" s="6" t="s">
        <v>17</v>
      </c>
      <c r="B22" s="7">
        <v>1.2192425191415388</v>
      </c>
      <c r="C22" s="8">
        <v>4.9427351629107923</v>
      </c>
      <c r="D22" s="7">
        <v>304.28335868495395</v>
      </c>
      <c r="E22" s="8">
        <v>609.01409890966727</v>
      </c>
      <c r="F22" s="8">
        <f>8590/15.6466</f>
        <v>549.00106093336569</v>
      </c>
      <c r="G22" s="8">
        <f>(7+5433)/15.6466</f>
        <v>347.67936804161928</v>
      </c>
      <c r="H22" s="8">
        <f>0.692+3274.084</f>
        <v>3274.7759999999998</v>
      </c>
      <c r="I22" s="8">
        <f>158.445</f>
        <v>158.44499999999999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1</v>
      </c>
    </row>
    <row r="23" spans="1:15" x14ac:dyDescent="0.25">
      <c r="A23" s="6" t="s">
        <v>18</v>
      </c>
      <c r="B23" s="7">
        <v>-0.67765520943847224</v>
      </c>
      <c r="C23" s="8">
        <v>0</v>
      </c>
      <c r="D23" s="7">
        <v>-1.0225863765929979</v>
      </c>
      <c r="E23" s="8">
        <v>-22.816458527731264</v>
      </c>
      <c r="F23" s="8">
        <f>(-3700-117521)/15.6466</f>
        <v>-7747.4339473112368</v>
      </c>
      <c r="G23" s="8">
        <f>0</f>
        <v>0</v>
      </c>
      <c r="H23" s="8">
        <v>-57.167999999999999</v>
      </c>
      <c r="I23" s="8">
        <v>0</v>
      </c>
      <c r="J23" s="8">
        <v>-2</v>
      </c>
      <c r="K23" s="8">
        <v>0</v>
      </c>
      <c r="L23" s="8">
        <v>-0.57799999999999996</v>
      </c>
      <c r="M23" s="8">
        <v>0</v>
      </c>
      <c r="N23" s="8">
        <v>0</v>
      </c>
      <c r="O23" s="8">
        <v>0</v>
      </c>
    </row>
    <row r="24" spans="1:15" ht="13" x14ac:dyDescent="0.3">
      <c r="A24" s="9"/>
      <c r="C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3" x14ac:dyDescent="0.3">
      <c r="A25" s="9" t="s">
        <v>19</v>
      </c>
      <c r="B25" s="10">
        <f t="shared" ref="B25:J25" si="12">B19+SUM(B21:B23)</f>
        <v>1063.8129050400735</v>
      </c>
      <c r="C25" s="11">
        <f t="shared" si="12"/>
        <v>584.40958419081414</v>
      </c>
      <c r="D25" s="10">
        <f t="shared" si="12"/>
        <v>1044.1246021499878</v>
      </c>
      <c r="E25" s="11">
        <f t="shared" si="12"/>
        <v>-574.94919023941168</v>
      </c>
      <c r="F25" s="11">
        <f t="shared" si="12"/>
        <v>-9089.1311850497877</v>
      </c>
      <c r="G25" s="11">
        <f t="shared" si="12"/>
        <v>156.26398067311732</v>
      </c>
      <c r="H25" s="11">
        <f t="shared" si="12"/>
        <v>3676.21</v>
      </c>
      <c r="I25" s="11">
        <f t="shared" si="12"/>
        <v>-558.44999999999845</v>
      </c>
      <c r="J25" s="11">
        <f t="shared" si="12"/>
        <v>332</v>
      </c>
      <c r="K25" s="11">
        <f t="shared" ref="K25:L25" si="13">K19+SUM(K21:K23)</f>
        <v>35</v>
      </c>
      <c r="L25" s="11">
        <f t="shared" si="13"/>
        <v>-457.75100000000089</v>
      </c>
      <c r="M25" s="11">
        <f t="shared" ref="M25:N25" si="14">M19+SUM(M21:M23)</f>
        <v>-1185.8019999999997</v>
      </c>
      <c r="N25" s="11">
        <f t="shared" si="14"/>
        <v>2460</v>
      </c>
      <c r="O25" s="11">
        <f t="shared" ref="O25" si="15">O19+SUM(O21:O23)</f>
        <v>1916.5</v>
      </c>
    </row>
    <row r="26" spans="1:15" x14ac:dyDescent="0.25">
      <c r="A26" s="6" t="s">
        <v>20</v>
      </c>
      <c r="B26" s="7">
        <v>-15.286643743688725</v>
      </c>
      <c r="C26" s="8">
        <v>-28.916314087405571</v>
      </c>
      <c r="D26" s="7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3" x14ac:dyDescent="0.3">
      <c r="A27" s="9" t="s">
        <v>21</v>
      </c>
      <c r="B27" s="10">
        <f t="shared" ref="B27:J27" si="16">B25+B26</f>
        <v>1048.5262612963847</v>
      </c>
      <c r="C27" s="11">
        <f t="shared" si="16"/>
        <v>555.49327010340858</v>
      </c>
      <c r="D27" s="10">
        <f t="shared" si="16"/>
        <v>1044.1246021499878</v>
      </c>
      <c r="E27" s="11">
        <f t="shared" si="16"/>
        <v>-574.94919023941168</v>
      </c>
      <c r="F27" s="11">
        <f t="shared" si="16"/>
        <v>-9089.1311850497877</v>
      </c>
      <c r="G27" s="11">
        <f t="shared" si="16"/>
        <v>156.26398067311732</v>
      </c>
      <c r="H27" s="11">
        <f t="shared" si="16"/>
        <v>3676.21</v>
      </c>
      <c r="I27" s="11">
        <f t="shared" si="16"/>
        <v>-558.44999999999845</v>
      </c>
      <c r="J27" s="11">
        <f t="shared" si="16"/>
        <v>332</v>
      </c>
      <c r="K27" s="11">
        <f t="shared" ref="K27:L27" si="17">K25+K26</f>
        <v>35</v>
      </c>
      <c r="L27" s="11">
        <f t="shared" si="17"/>
        <v>-457.75100000000089</v>
      </c>
      <c r="M27" s="11">
        <f t="shared" ref="M27:N27" si="18">M25+M26</f>
        <v>-1185.8019999999997</v>
      </c>
      <c r="N27" s="11">
        <f t="shared" si="18"/>
        <v>2460</v>
      </c>
      <c r="O27" s="11">
        <f t="shared" ref="O27" si="19">O25+O26</f>
        <v>1916.5</v>
      </c>
    </row>
    <row r="28" spans="1:15" x14ac:dyDescent="0.25">
      <c r="A28" s="6"/>
      <c r="C28" s="6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3" x14ac:dyDescent="0.3">
      <c r="A29" s="2" t="s">
        <v>90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Normal="10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O1" sqref="O1:O1048576"/>
    </sheetView>
  </sheetViews>
  <sheetFormatPr defaultColWidth="8.81640625" defaultRowHeight="12.5" x14ac:dyDescent="0.25"/>
  <cols>
    <col min="1" max="1" width="42.54296875" style="23" customWidth="1"/>
    <col min="2" max="15" width="10.1796875" style="2" bestFit="1" customWidth="1"/>
    <col min="16" max="16384" width="8.81640625" style="2"/>
  </cols>
  <sheetData>
    <row r="1" spans="1:15" ht="13" x14ac:dyDescent="0.3">
      <c r="A1" s="12" t="s">
        <v>22</v>
      </c>
    </row>
    <row r="2" spans="1:15" ht="13" x14ac:dyDescent="0.3">
      <c r="A2" s="13" t="s">
        <v>1</v>
      </c>
      <c r="B2" s="14">
        <v>38717</v>
      </c>
      <c r="C2" s="15">
        <v>39082</v>
      </c>
      <c r="D2" s="14">
        <v>39447</v>
      </c>
      <c r="E2" s="14">
        <v>39813</v>
      </c>
      <c r="F2" s="14">
        <v>40178</v>
      </c>
      <c r="G2" s="14">
        <v>40543</v>
      </c>
      <c r="H2" s="14">
        <v>40908</v>
      </c>
      <c r="I2" s="14">
        <v>41274</v>
      </c>
      <c r="J2" s="14">
        <v>41639</v>
      </c>
      <c r="K2" s="14">
        <v>42004</v>
      </c>
      <c r="L2" s="14">
        <v>42369</v>
      </c>
      <c r="M2" s="14">
        <v>42735</v>
      </c>
      <c r="N2" s="14">
        <v>43100</v>
      </c>
      <c r="O2" s="14">
        <v>43465</v>
      </c>
    </row>
    <row r="3" spans="1:15" ht="13" x14ac:dyDescent="0.3">
      <c r="A3" s="16" t="s">
        <v>23</v>
      </c>
      <c r="B3" s="8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17" t="s">
        <v>24</v>
      </c>
      <c r="B4" s="8">
        <v>51.124589367658153</v>
      </c>
      <c r="C4" s="7">
        <v>20.228164585277312</v>
      </c>
      <c r="D4" s="8">
        <v>9.1393657407999189</v>
      </c>
      <c r="E4" s="8">
        <v>22.241253690897704</v>
      </c>
      <c r="F4" s="8">
        <f>1055/15.6466</f>
        <v>67.426789206600802</v>
      </c>
      <c r="G4" s="8">
        <f>5215/15.6466</f>
        <v>333.29924712078025</v>
      </c>
      <c r="H4" s="8">
        <v>358.29700000000003</v>
      </c>
      <c r="I4" s="8">
        <v>95.956000000000003</v>
      </c>
      <c r="J4" s="8">
        <v>516</v>
      </c>
      <c r="K4" s="8">
        <v>134</v>
      </c>
      <c r="L4" s="8">
        <v>239.517</v>
      </c>
      <c r="M4" s="8">
        <v>14</v>
      </c>
      <c r="N4" s="8">
        <v>959</v>
      </c>
      <c r="O4" s="8">
        <v>2521</v>
      </c>
    </row>
    <row r="5" spans="1:15" x14ac:dyDescent="0.25">
      <c r="A5" s="17" t="s">
        <v>25</v>
      </c>
      <c r="B5" s="8">
        <v>535.12239080694849</v>
      </c>
      <c r="C5" s="7">
        <v>487.83505681745555</v>
      </c>
      <c r="D5" s="8">
        <v>605.4989582401289</v>
      </c>
      <c r="E5" s="8">
        <v>321.66732708703489</v>
      </c>
      <c r="F5" s="8">
        <f>6002/15.6466</f>
        <v>383.59771451944835</v>
      </c>
      <c r="G5" s="8">
        <f>7219/15.6466</f>
        <v>461.37819078905324</v>
      </c>
      <c r="H5" s="8">
        <v>451.899</v>
      </c>
      <c r="I5" s="8">
        <v>433.29599999999999</v>
      </c>
      <c r="J5" s="8">
        <v>143</v>
      </c>
      <c r="K5" s="8">
        <v>66</v>
      </c>
      <c r="L5" s="8">
        <v>630.58299999999997</v>
      </c>
      <c r="M5" s="8">
        <v>617</v>
      </c>
      <c r="N5" s="8">
        <v>685</v>
      </c>
      <c r="O5" s="8">
        <v>714</v>
      </c>
    </row>
    <row r="6" spans="1:15" ht="25" x14ac:dyDescent="0.25">
      <c r="A6" s="17" t="s">
        <v>26</v>
      </c>
      <c r="B6" s="8">
        <v>0</v>
      </c>
      <c r="C6" s="7">
        <v>290.2867076553373</v>
      </c>
      <c r="D6" s="8">
        <v>6288.5866578042514</v>
      </c>
      <c r="E6" s="8">
        <v>6995.3216673270872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</row>
    <row r="7" spans="1:15" x14ac:dyDescent="0.25">
      <c r="A7" s="17" t="s">
        <v>27</v>
      </c>
      <c r="B7" s="8">
        <v>233.81520585941996</v>
      </c>
      <c r="C7" s="7">
        <v>195.75818388659516</v>
      </c>
      <c r="D7" s="8">
        <v>221.70950877506937</v>
      </c>
      <c r="E7" s="8">
        <v>183.55425459844312</v>
      </c>
      <c r="F7" s="8">
        <f>3729/15.6466</f>
        <v>238.32653739470558</v>
      </c>
      <c r="G7" s="8">
        <f>3301/15.6466</f>
        <v>210.97235182084287</v>
      </c>
      <c r="H7" s="8">
        <f>12.523+289.149</f>
        <v>301.67200000000003</v>
      </c>
      <c r="I7" s="8">
        <f>24.019+226.392+4.179</f>
        <v>254.59</v>
      </c>
      <c r="J7" s="8">
        <f>679-J5-55</f>
        <v>481</v>
      </c>
      <c r="K7" s="8">
        <f>412-K5-57</f>
        <v>289</v>
      </c>
      <c r="L7" s="8">
        <f>982.438-L5-57+4</f>
        <v>298.85500000000002</v>
      </c>
      <c r="M7" s="8">
        <f>883-M5</f>
        <v>266</v>
      </c>
      <c r="N7" s="8">
        <f>957-N5</f>
        <v>272</v>
      </c>
      <c r="O7" s="8">
        <f>978-O5</f>
        <v>264</v>
      </c>
    </row>
    <row r="8" spans="1:15" ht="13" x14ac:dyDescent="0.3">
      <c r="A8" s="16" t="s">
        <v>28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A9" s="17" t="s">
        <v>29</v>
      </c>
      <c r="B9" s="8">
        <v>475.46297598200249</v>
      </c>
      <c r="C9" s="7">
        <v>424.49375583193796</v>
      </c>
      <c r="D9" s="8">
        <v>635.0900515127887</v>
      </c>
      <c r="E9" s="8">
        <v>355.47658916314089</v>
      </c>
      <c r="F9" s="8">
        <f>2895/15.6466</f>
        <v>185.02422251479555</v>
      </c>
      <c r="G9" s="8">
        <f>3295/15.6466</f>
        <v>210.5888819296205</v>
      </c>
      <c r="H9" s="8">
        <v>286.654</v>
      </c>
      <c r="I9" s="8">
        <v>273.97899999999998</v>
      </c>
      <c r="J9" s="8">
        <v>267</v>
      </c>
      <c r="K9" s="8">
        <v>231</v>
      </c>
      <c r="L9" s="8">
        <v>178.30199999999999</v>
      </c>
      <c r="M9" s="8">
        <v>243</v>
      </c>
      <c r="N9" s="8">
        <v>234</v>
      </c>
      <c r="O9" s="8">
        <v>264</v>
      </c>
    </row>
    <row r="10" spans="1:15" x14ac:dyDescent="0.25">
      <c r="A10" s="17" t="s">
        <v>30</v>
      </c>
      <c r="B10" s="8">
        <v>119.32221696726447</v>
      </c>
      <c r="C10" s="7">
        <v>117.40569836258356</v>
      </c>
      <c r="D10" s="8">
        <v>140.22215689031484</v>
      </c>
      <c r="E10" s="8">
        <v>186.87766032237036</v>
      </c>
      <c r="F10" s="8">
        <f>2278/15.6466</f>
        <v>145.59073536742807</v>
      </c>
      <c r="G10" s="8">
        <f>2501/15.6466</f>
        <v>159.84303299119298</v>
      </c>
      <c r="H10" s="8">
        <v>168.43100000000001</v>
      </c>
      <c r="I10" s="8">
        <v>121.25</v>
      </c>
      <c r="J10" s="8">
        <v>197</v>
      </c>
      <c r="K10" s="8">
        <v>135</v>
      </c>
      <c r="L10" s="8">
        <v>103.17700000000001</v>
      </c>
      <c r="M10" s="8">
        <v>143</v>
      </c>
      <c r="N10" s="8">
        <v>162</v>
      </c>
      <c r="O10" s="8">
        <v>31</v>
      </c>
    </row>
    <row r="11" spans="1:15" x14ac:dyDescent="0.25">
      <c r="A11" s="17" t="s">
        <v>31</v>
      </c>
      <c r="B11" s="8">
        <v>398.32276660744191</v>
      </c>
      <c r="C11" s="7">
        <v>412.13618294070278</v>
      </c>
      <c r="D11" s="8">
        <v>978.99863229072139</v>
      </c>
      <c r="E11" s="8">
        <v>1218.0281978193345</v>
      </c>
      <c r="F11" s="8">
        <f>(8433+5228)/15.6466</f>
        <v>873.09703066480904</v>
      </c>
      <c r="G11" s="8">
        <f>(11295+6013)/15.6466</f>
        <v>1106.1828128794755</v>
      </c>
      <c r="H11" s="8">
        <v>958.37300000000005</v>
      </c>
      <c r="I11" s="8">
        <v>940.68399999999997</v>
      </c>
      <c r="J11" s="8">
        <v>868</v>
      </c>
      <c r="K11" s="8">
        <v>1320</v>
      </c>
      <c r="L11" s="8">
        <v>1373.192</v>
      </c>
      <c r="M11" s="8">
        <v>1141</v>
      </c>
      <c r="N11" s="8">
        <v>1753</v>
      </c>
      <c r="O11" s="8">
        <v>1615</v>
      </c>
    </row>
    <row r="12" spans="1:15" x14ac:dyDescent="0.25">
      <c r="A12" s="18" t="s">
        <v>32</v>
      </c>
      <c r="B12" s="8">
        <v>612.0904222003503</v>
      </c>
      <c r="C12" s="7">
        <v>405.27903825751281</v>
      </c>
      <c r="D12" s="8">
        <v>535.45179144350857</v>
      </c>
      <c r="E12" s="8">
        <v>450.83276878043796</v>
      </c>
      <c r="F12" s="8">
        <f>3044/15.6466</f>
        <v>194.54705814681785</v>
      </c>
      <c r="G12" s="8">
        <f>2168/15.6466</f>
        <v>138.56045402835122</v>
      </c>
      <c r="H12" s="8">
        <v>128.113</v>
      </c>
      <c r="I12" s="8">
        <v>140.05799999999999</v>
      </c>
      <c r="J12" s="8">
        <v>206</v>
      </c>
      <c r="K12" s="8">
        <v>136</v>
      </c>
      <c r="L12" s="8">
        <v>232.47200000000001</v>
      </c>
      <c r="M12" s="8">
        <v>146</v>
      </c>
      <c r="N12" s="8">
        <v>191</v>
      </c>
      <c r="O12" s="8">
        <v>64</v>
      </c>
    </row>
    <row r="13" spans="1:15" x14ac:dyDescent="0.25">
      <c r="A13" s="17" t="s">
        <v>33</v>
      </c>
      <c r="B13" s="8">
        <v>3.2639039791392381</v>
      </c>
      <c r="C13" s="7">
        <v>2.7482008870936818</v>
      </c>
      <c r="D13" s="8">
        <v>1.9812611046489335</v>
      </c>
      <c r="E13" s="8">
        <v>2.4925542929454325</v>
      </c>
      <c r="F13" s="8">
        <f>(22+63)/15.6466</f>
        <v>5.4324901256503013</v>
      </c>
      <c r="G13" s="8">
        <f>(16+301)/15.6466+1</f>
        <v>21.259992586248771</v>
      </c>
      <c r="H13" s="8">
        <f>1.392+31.623</f>
        <v>33.015000000000001</v>
      </c>
      <c r="I13" s="8">
        <f>0.765+1.528</f>
        <v>2.2930000000000001</v>
      </c>
      <c r="J13" s="8">
        <f>0.569+0.683</f>
        <v>1.252</v>
      </c>
      <c r="K13" s="8">
        <v>1</v>
      </c>
      <c r="L13" s="8">
        <v>0.13100000000000001</v>
      </c>
      <c r="M13" s="8">
        <v>1</v>
      </c>
      <c r="N13" s="8">
        <v>0</v>
      </c>
      <c r="O13" s="8">
        <v>0</v>
      </c>
    </row>
    <row r="14" spans="1:15" ht="13" x14ac:dyDescent="0.3">
      <c r="A14" s="16" t="s">
        <v>34</v>
      </c>
      <c r="B14" s="11">
        <f t="shared" ref="B14:J14" si="0">SUM(B9:B13)</f>
        <v>1608.4622857361985</v>
      </c>
      <c r="C14" s="10">
        <f t="shared" si="0"/>
        <v>1362.0628762798308</v>
      </c>
      <c r="D14" s="11">
        <f t="shared" si="0"/>
        <v>2291.7438932419827</v>
      </c>
      <c r="E14" s="11">
        <f t="shared" si="0"/>
        <v>2213.7077703782293</v>
      </c>
      <c r="F14" s="11">
        <f t="shared" si="0"/>
        <v>1403.6915368195007</v>
      </c>
      <c r="G14" s="11">
        <f t="shared" si="0"/>
        <v>1636.4351744148889</v>
      </c>
      <c r="H14" s="11">
        <f t="shared" si="0"/>
        <v>1574.5860000000002</v>
      </c>
      <c r="I14" s="11">
        <f t="shared" si="0"/>
        <v>1478.2639999999999</v>
      </c>
      <c r="J14" s="11">
        <f t="shared" si="0"/>
        <v>1539.252</v>
      </c>
      <c r="K14" s="11">
        <f t="shared" ref="K14:L14" si="1">SUM(K9:K13)</f>
        <v>1823</v>
      </c>
      <c r="L14" s="11">
        <f t="shared" si="1"/>
        <v>1887.2740000000001</v>
      </c>
      <c r="M14" s="11">
        <f t="shared" ref="M14:N14" si="2">SUM(M9:M13)</f>
        <v>1674</v>
      </c>
      <c r="N14" s="11">
        <f t="shared" si="2"/>
        <v>2340</v>
      </c>
      <c r="O14" s="11">
        <f t="shared" ref="O14" si="3">SUM(O9:O13)</f>
        <v>1974</v>
      </c>
    </row>
    <row r="15" spans="1:15" ht="13" x14ac:dyDescent="0.3">
      <c r="A15" s="16" t="s">
        <v>35</v>
      </c>
      <c r="B15" s="11">
        <f t="shared" ref="B15:J15" si="4">B14+SUM(B4:B7)</f>
        <v>2428.5244717702253</v>
      </c>
      <c r="C15" s="10">
        <f t="shared" si="4"/>
        <v>2356.1709892244962</v>
      </c>
      <c r="D15" s="11">
        <f t="shared" si="4"/>
        <v>9416.6783838022329</v>
      </c>
      <c r="E15" s="11">
        <f t="shared" si="4"/>
        <v>9736.4922730816925</v>
      </c>
      <c r="F15" s="11">
        <f t="shared" si="4"/>
        <v>2093.0425779402553</v>
      </c>
      <c r="G15" s="11">
        <f t="shared" si="4"/>
        <v>2642.0849641455652</v>
      </c>
      <c r="H15" s="11">
        <f t="shared" si="4"/>
        <v>2686.4540000000002</v>
      </c>
      <c r="I15" s="11">
        <f t="shared" si="4"/>
        <v>2262.1059999999998</v>
      </c>
      <c r="J15" s="11">
        <f t="shared" si="4"/>
        <v>2679.252</v>
      </c>
      <c r="K15" s="11">
        <f t="shared" ref="K15:L15" si="5">K14+SUM(K4:K7)</f>
        <v>2312</v>
      </c>
      <c r="L15" s="11">
        <f t="shared" si="5"/>
        <v>3056.2290000000003</v>
      </c>
      <c r="M15" s="11">
        <f t="shared" ref="M15:N15" si="6">M14+SUM(M4:M7)</f>
        <v>2571</v>
      </c>
      <c r="N15" s="11">
        <f t="shared" si="6"/>
        <v>4256</v>
      </c>
      <c r="O15" s="11">
        <f t="shared" ref="O15" si="7">O14+SUM(O4:O7)</f>
        <v>5473</v>
      </c>
    </row>
    <row r="16" spans="1:15" ht="13" x14ac:dyDescent="0.3">
      <c r="A16" s="16" t="s">
        <v>36</v>
      </c>
      <c r="B16" s="8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5">
      <c r="A17" s="17" t="s">
        <v>37</v>
      </c>
      <c r="B17" s="8">
        <v>4.8685337389592629</v>
      </c>
      <c r="C17" s="7">
        <v>4.8685337389592629</v>
      </c>
      <c r="D17" s="8">
        <v>3.1955824268531186</v>
      </c>
      <c r="E17" s="8">
        <v>3.1955824268531186</v>
      </c>
      <c r="F17" s="8">
        <f>50/15.6466</f>
        <v>3.1955824268531186</v>
      </c>
      <c r="G17" s="8">
        <f>50/15.6466</f>
        <v>3.1955824268531186</v>
      </c>
      <c r="H17" s="8">
        <v>3.1960000000000002</v>
      </c>
      <c r="I17" s="8">
        <v>3.1960000000000002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3" x14ac:dyDescent="0.3">
      <c r="A18" s="16" t="s">
        <v>38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5">
      <c r="A19" s="17" t="s">
        <v>70</v>
      </c>
      <c r="B19" s="8"/>
      <c r="C19" s="7"/>
      <c r="D19" s="8"/>
      <c r="E19" s="8"/>
      <c r="F19" s="8"/>
      <c r="G19" s="8"/>
      <c r="H19" s="8"/>
      <c r="I19" s="8"/>
      <c r="J19" s="8">
        <v>56</v>
      </c>
      <c r="K19" s="8">
        <v>57</v>
      </c>
      <c r="L19" s="8">
        <v>52.802</v>
      </c>
      <c r="M19" s="8">
        <v>9</v>
      </c>
      <c r="N19" s="8">
        <v>51</v>
      </c>
      <c r="O19" s="8">
        <v>79</v>
      </c>
    </row>
    <row r="20" spans="1:15" x14ac:dyDescent="0.25">
      <c r="A20" s="17" t="s">
        <v>39</v>
      </c>
      <c r="B20" s="8">
        <v>4914.7828282182718</v>
      </c>
      <c r="C20" s="7">
        <v>5071.5984303299119</v>
      </c>
      <c r="D20" s="8">
        <v>5525.6093975688009</v>
      </c>
      <c r="E20" s="8">
        <v>5627.4206536883412</v>
      </c>
      <c r="F20" s="8">
        <f>(14062+73980)/15.6466</f>
        <v>5626.9093605000453</v>
      </c>
      <c r="G20" s="8">
        <f>898.707+4728.171</f>
        <v>5626.8780000000006</v>
      </c>
      <c r="H20" s="8">
        <f>898.707+4861.289</f>
        <v>5759.9960000000001</v>
      </c>
      <c r="I20" s="8">
        <f>951.97+4910.693</f>
        <v>5862.6630000000005</v>
      </c>
      <c r="J20" s="8">
        <f>1262.874+5115.948</f>
        <v>6378.8220000000001</v>
      </c>
      <c r="K20" s="8">
        <f>1307+13364</f>
        <v>14671</v>
      </c>
      <c r="L20" s="8">
        <f>1457.288+13335.875</f>
        <v>14793.163</v>
      </c>
      <c r="M20" s="8">
        <f>1508+13296</f>
        <v>14804</v>
      </c>
      <c r="N20" s="8">
        <f>1556+12889</f>
        <v>14445</v>
      </c>
      <c r="O20" s="8">
        <f>1661+12741</f>
        <v>14402</v>
      </c>
    </row>
    <row r="21" spans="1:15" x14ac:dyDescent="0.25">
      <c r="A21" s="17" t="s">
        <v>40</v>
      </c>
      <c r="B21" s="8">
        <v>3830.3678115373309</v>
      </c>
      <c r="C21" s="7">
        <v>3950.7582477982442</v>
      </c>
      <c r="D21" s="8">
        <v>4381.5908887553851</v>
      </c>
      <c r="E21" s="8">
        <v>4875.1805504071172</v>
      </c>
      <c r="F21" s="8">
        <f>75655/15.6466</f>
        <v>4835.2357700714538</v>
      </c>
      <c r="G21" s="8">
        <v>4835.2209999999995</v>
      </c>
      <c r="H21" s="8">
        <v>4891.96</v>
      </c>
      <c r="I21" s="8">
        <v>5085.8379999999997</v>
      </c>
      <c r="J21" s="8">
        <f>5313.353</f>
        <v>5313.3530000000001</v>
      </c>
      <c r="K21" s="8">
        <v>7680</v>
      </c>
      <c r="L21" s="8">
        <f>6574.646</f>
        <v>6574.6459999999997</v>
      </c>
      <c r="M21" s="8">
        <v>6816</v>
      </c>
      <c r="N21" s="8">
        <v>7048</v>
      </c>
      <c r="O21" s="8">
        <v>6907</v>
      </c>
    </row>
    <row r="22" spans="1:15" s="22" customFormat="1" ht="13" x14ac:dyDescent="0.3">
      <c r="A22" s="19" t="s">
        <v>41</v>
      </c>
      <c r="B22" s="20">
        <v>803.36942211087398</v>
      </c>
      <c r="C22" s="21">
        <v>890.60882236396412</v>
      </c>
      <c r="D22" s="20">
        <v>999.83382971380365</v>
      </c>
      <c r="E22" s="20">
        <v>1426.6997302928432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5">
      <c r="A23" s="17" t="s">
        <v>42</v>
      </c>
      <c r="B23" s="8">
        <v>28.05133383610497</v>
      </c>
      <c r="C23" s="7">
        <v>33.506576508634467</v>
      </c>
      <c r="D23" s="8">
        <v>36.365728017588488</v>
      </c>
      <c r="E23" s="8">
        <v>38.986105607608046</v>
      </c>
      <c r="F23" s="8">
        <f>556/15.6466</f>
        <v>35.534876586606678</v>
      </c>
      <c r="G23" s="8">
        <v>35.539000000000001</v>
      </c>
      <c r="H23" s="8">
        <v>34.225000000000001</v>
      </c>
      <c r="I23" s="8">
        <v>34.225000000000001</v>
      </c>
      <c r="J23" s="8">
        <v>15.096</v>
      </c>
      <c r="K23" s="8">
        <v>41</v>
      </c>
      <c r="L23" s="8">
        <v>28.227</v>
      </c>
      <c r="M23" s="8">
        <v>28.227</v>
      </c>
      <c r="N23" s="8">
        <v>28.227</v>
      </c>
      <c r="O23" s="8">
        <v>19</v>
      </c>
    </row>
    <row r="24" spans="1:15" x14ac:dyDescent="0.25">
      <c r="A24" s="18" t="s">
        <v>43</v>
      </c>
      <c r="B24" s="8">
        <v>2307.3042705763551</v>
      </c>
      <c r="C24" s="7">
        <v>3053.8228752572445</v>
      </c>
      <c r="D24" s="8">
        <v>3948.589469916787</v>
      </c>
      <c r="E24" s="8">
        <v>4033.7836974166912</v>
      </c>
      <c r="F24" s="8">
        <f>59711/15.6466</f>
        <v>3816.2284457965311</v>
      </c>
      <c r="G24" s="8">
        <f>57701/15.6466</f>
        <v>3687.7660322370357</v>
      </c>
      <c r="H24" s="8">
        <v>3655.681</v>
      </c>
      <c r="I24" s="8">
        <v>3705.2660000000001</v>
      </c>
      <c r="J24" s="8">
        <v>3931</v>
      </c>
      <c r="K24" s="8">
        <v>4413</v>
      </c>
      <c r="L24" s="8">
        <v>4742.0919999999996</v>
      </c>
      <c r="M24" s="8">
        <v>4845</v>
      </c>
      <c r="N24" s="8">
        <v>4984</v>
      </c>
      <c r="O24" s="8">
        <v>4892</v>
      </c>
    </row>
    <row r="25" spans="1:15" x14ac:dyDescent="0.25">
      <c r="A25" s="17" t="s">
        <v>12</v>
      </c>
      <c r="B25" s="8">
        <v>-3548.9544693415824</v>
      </c>
      <c r="C25" s="7">
        <v>-3927.7313282118803</v>
      </c>
      <c r="D25" s="8">
        <v>-4253.7675916812595</v>
      </c>
      <c r="E25" s="8">
        <v>-5167.2567842214921</v>
      </c>
      <c r="F25" s="8">
        <f>-92927/15.6466</f>
        <v>-5939.1177636035945</v>
      </c>
      <c r="G25" s="8">
        <v>-6628.0010000000002</v>
      </c>
      <c r="H25" s="8">
        <v>-7077.59</v>
      </c>
      <c r="I25" s="8">
        <v>-7525.317</v>
      </c>
      <c r="J25" s="8">
        <v>-7829</v>
      </c>
      <c r="K25" s="8">
        <v>-7898</v>
      </c>
      <c r="L25" s="8">
        <v>-7603.88</v>
      </c>
      <c r="M25" s="8">
        <v>-8051</v>
      </c>
      <c r="N25" s="8">
        <v>-8244</v>
      </c>
      <c r="O25" s="8">
        <v>-8485</v>
      </c>
    </row>
    <row r="26" spans="1:15" x14ac:dyDescent="0.25">
      <c r="A26" s="17" t="s">
        <v>44</v>
      </c>
      <c r="B26" s="8">
        <v>28.192642491020415</v>
      </c>
      <c r="C26" s="7">
        <v>1.8534378075748086</v>
      </c>
      <c r="D26" s="8">
        <v>38.922193959070981</v>
      </c>
      <c r="E26" s="8">
        <v>22.305165339434765</v>
      </c>
      <c r="F26" s="8">
        <f>1463/15.6466</f>
        <v>93.502741809722238</v>
      </c>
      <c r="G26" s="8">
        <v>93.533000000000001</v>
      </c>
      <c r="H26" s="8">
        <v>93.783000000000001</v>
      </c>
      <c r="I26" s="8">
        <v>308.13</v>
      </c>
      <c r="J26" s="8">
        <f>2966</f>
        <v>2966</v>
      </c>
      <c r="K26" s="8">
        <v>0</v>
      </c>
      <c r="L26" s="8">
        <v>7.9189999999999996</v>
      </c>
      <c r="M26" s="8">
        <v>10</v>
      </c>
      <c r="N26" s="8">
        <v>50</v>
      </c>
      <c r="O26" s="8">
        <f>39+28</f>
        <v>67</v>
      </c>
    </row>
    <row r="27" spans="1:15" ht="13" x14ac:dyDescent="0.3">
      <c r="A27" s="16" t="s">
        <v>45</v>
      </c>
      <c r="B27" s="11">
        <f t="shared" ref="B27:I27" si="8">SUM(B23:B26,B21,B20)</f>
        <v>7559.7444173175008</v>
      </c>
      <c r="C27" s="10">
        <f t="shared" si="8"/>
        <v>8183.8082394897301</v>
      </c>
      <c r="D27" s="11">
        <f t="shared" si="8"/>
        <v>9677.310086536374</v>
      </c>
      <c r="E27" s="11">
        <f t="shared" si="8"/>
        <v>9430.4193882377003</v>
      </c>
      <c r="F27" s="11">
        <f t="shared" si="8"/>
        <v>8468.2934311607642</v>
      </c>
      <c r="G27" s="11">
        <f t="shared" si="8"/>
        <v>7650.9360322370358</v>
      </c>
      <c r="H27" s="11">
        <f t="shared" si="8"/>
        <v>7358.0550000000003</v>
      </c>
      <c r="I27" s="11">
        <f t="shared" si="8"/>
        <v>7470.8050000000003</v>
      </c>
      <c r="J27" s="11">
        <f>SUM(J23:J26,J21,J20,J19)</f>
        <v>10831.271000000001</v>
      </c>
      <c r="K27" s="11">
        <f>SUM(K23:K26,K21,K20,K19)</f>
        <v>18964</v>
      </c>
      <c r="L27" s="11">
        <f>SUM(L23:L26,L21,L20,L19)</f>
        <v>18594.969000000001</v>
      </c>
      <c r="M27" s="11">
        <f>SUM(M23:M26,M21,M20,M19)</f>
        <v>18461.226999999999</v>
      </c>
      <c r="N27" s="11">
        <f>SUM(N23:N26,N21,N20,N19)</f>
        <v>18362.226999999999</v>
      </c>
      <c r="O27" s="11">
        <f>SUM(O23:O26,O21,O20,O19)</f>
        <v>17881</v>
      </c>
    </row>
    <row r="28" spans="1:15" ht="13" x14ac:dyDescent="0.3">
      <c r="A28" s="16" t="s">
        <v>46</v>
      </c>
      <c r="B28" s="11">
        <f t="shared" ref="B28:J28" si="9">B27+B17</f>
        <v>7564.6129510564597</v>
      </c>
      <c r="C28" s="10">
        <f t="shared" si="9"/>
        <v>8188.6767732286889</v>
      </c>
      <c r="D28" s="11">
        <f t="shared" si="9"/>
        <v>9680.5056689632274</v>
      </c>
      <c r="E28" s="11">
        <f t="shared" si="9"/>
        <v>9433.6149706645538</v>
      </c>
      <c r="F28" s="11">
        <f t="shared" si="9"/>
        <v>8471.4890135876176</v>
      </c>
      <c r="G28" s="11">
        <f t="shared" si="9"/>
        <v>7654.1316146638892</v>
      </c>
      <c r="H28" s="11">
        <f t="shared" si="9"/>
        <v>7361.2510000000002</v>
      </c>
      <c r="I28" s="11">
        <f t="shared" si="9"/>
        <v>7474.0010000000002</v>
      </c>
      <c r="J28" s="11">
        <f t="shared" si="9"/>
        <v>10831.271000000001</v>
      </c>
      <c r="K28" s="11">
        <f t="shared" ref="K28:L28" si="10">K27+K17</f>
        <v>18964</v>
      </c>
      <c r="L28" s="11">
        <f t="shared" si="10"/>
        <v>18594.969000000001</v>
      </c>
      <c r="M28" s="11">
        <f t="shared" ref="M28:N28" si="11">M27+M17</f>
        <v>18461.226999999999</v>
      </c>
      <c r="N28" s="11">
        <f t="shared" si="11"/>
        <v>18362.226999999999</v>
      </c>
      <c r="O28" s="11">
        <f t="shared" ref="O28" si="12">O27+O17</f>
        <v>17881</v>
      </c>
    </row>
    <row r="29" spans="1:15" x14ac:dyDescent="0.25">
      <c r="A29" s="17"/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3" x14ac:dyDescent="0.3">
      <c r="A30" s="16" t="s">
        <v>47</v>
      </c>
      <c r="B30" s="11">
        <f t="shared" ref="B30:I30" si="13">B28+B15</f>
        <v>9993.137422826685</v>
      </c>
      <c r="C30" s="10">
        <f t="shared" si="13"/>
        <v>10544.847762453184</v>
      </c>
      <c r="D30" s="11">
        <f t="shared" si="13"/>
        <v>19097.18405276546</v>
      </c>
      <c r="E30" s="11">
        <f t="shared" si="13"/>
        <v>19170.107243746246</v>
      </c>
      <c r="F30" s="11">
        <f t="shared" si="13"/>
        <v>10564.531591527873</v>
      </c>
      <c r="G30" s="11">
        <f t="shared" si="13"/>
        <v>10296.216578809453</v>
      </c>
      <c r="H30" s="11">
        <f t="shared" si="13"/>
        <v>10047.705</v>
      </c>
      <c r="I30" s="11">
        <f t="shared" si="13"/>
        <v>9736.107</v>
      </c>
      <c r="J30" s="11">
        <f t="shared" ref="J30:K30" si="14">J28+J15</f>
        <v>13510.523000000001</v>
      </c>
      <c r="K30" s="11">
        <f t="shared" si="14"/>
        <v>21276</v>
      </c>
      <c r="L30" s="11">
        <f t="shared" ref="L30:M30" si="15">L28+L15</f>
        <v>21651.198</v>
      </c>
      <c r="M30" s="11">
        <f t="shared" si="15"/>
        <v>21032.226999999999</v>
      </c>
      <c r="N30" s="11">
        <f t="shared" ref="N30:O30" si="16">N28+N15</f>
        <v>22618.226999999999</v>
      </c>
      <c r="O30" s="11">
        <f t="shared" si="16"/>
        <v>23354</v>
      </c>
    </row>
    <row r="31" spans="1:15" x14ac:dyDescent="0.25">
      <c r="A31" s="17"/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3" x14ac:dyDescent="0.3">
      <c r="A32" s="16" t="s">
        <v>48</v>
      </c>
      <c r="B32" s="8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5">
      <c r="A33" s="17" t="s">
        <v>49</v>
      </c>
      <c r="B33" s="8">
        <v>0</v>
      </c>
      <c r="C33" s="7">
        <v>0</v>
      </c>
      <c r="D33" s="8">
        <v>414.85051065407185</v>
      </c>
      <c r="E33" s="8">
        <v>415.42571549090536</v>
      </c>
      <c r="F33" s="8">
        <f>6390/15.6466</f>
        <v>408.39543415182851</v>
      </c>
      <c r="G33" s="8">
        <f>6366/15.6466</f>
        <v>406.86155458693901</v>
      </c>
      <c r="H33" s="8"/>
      <c r="I33" s="8"/>
      <c r="J33" s="8"/>
      <c r="K33" s="8"/>
      <c r="L33" s="8"/>
      <c r="M33" s="8"/>
      <c r="N33" s="8"/>
      <c r="O33" s="8"/>
    </row>
    <row r="34" spans="1:15" x14ac:dyDescent="0.25">
      <c r="A34" s="17" t="s">
        <v>50</v>
      </c>
      <c r="B34" s="8">
        <v>393.11492592639939</v>
      </c>
      <c r="C34" s="7">
        <v>459.36126698452063</v>
      </c>
      <c r="D34" s="8">
        <v>743.93158897140597</v>
      </c>
      <c r="E34" s="8">
        <v>1177.0608311070775</v>
      </c>
      <c r="F34" s="8">
        <f>146788/15.6466-F33</f>
        <v>8973.0676313064814</v>
      </c>
      <c r="G34" s="8">
        <f>146475/15.6466-G33</f>
        <v>8954.5971648792711</v>
      </c>
      <c r="H34" s="8">
        <f>402.272</f>
        <v>402.27199999999999</v>
      </c>
      <c r="I34" s="8">
        <v>232</v>
      </c>
      <c r="J34" s="8">
        <f>SUM(J35:J39)</f>
        <v>378</v>
      </c>
      <c r="K34" s="8">
        <f>SUM(K35:K39)</f>
        <v>846</v>
      </c>
      <c r="L34" s="8">
        <f>SUM(L35:L39)</f>
        <v>765.62800000000004</v>
      </c>
      <c r="M34" s="8">
        <f>SUM(M35:M39)</f>
        <v>950</v>
      </c>
      <c r="N34" s="8">
        <f>SUM(N35:N39)</f>
        <v>1072</v>
      </c>
      <c r="O34" s="8">
        <f>SUM(O35:O39)</f>
        <v>1342</v>
      </c>
    </row>
    <row r="35" spans="1:15" s="22" customFormat="1" ht="13" x14ac:dyDescent="0.3">
      <c r="A35" s="19" t="s">
        <v>51</v>
      </c>
      <c r="B35" s="20">
        <v>0</v>
      </c>
      <c r="C35" s="21">
        <v>0</v>
      </c>
      <c r="D35" s="20">
        <v>511.29318829649895</v>
      </c>
      <c r="E35" s="20">
        <v>884.34548080733202</v>
      </c>
      <c r="F35" s="20">
        <f>(8000+70839)/15.6466</f>
        <v>5038.7304590134599</v>
      </c>
      <c r="G35" s="20">
        <f>(8000+70839)/15.6466</f>
        <v>5038.7304590134599</v>
      </c>
      <c r="H35" s="8">
        <v>224.55500000000001</v>
      </c>
      <c r="I35" s="20">
        <v>0</v>
      </c>
      <c r="J35" s="20">
        <v>0</v>
      </c>
      <c r="K35" s="20">
        <v>0</v>
      </c>
      <c r="L35" s="20"/>
      <c r="M35" s="20"/>
      <c r="N35" s="20"/>
      <c r="O35" s="20"/>
    </row>
    <row r="36" spans="1:15" s="22" customFormat="1" ht="13" x14ac:dyDescent="0.3">
      <c r="A36" s="19" t="s">
        <v>52</v>
      </c>
      <c r="B36" s="20">
        <v>150.1284624135595</v>
      </c>
      <c r="C36" s="21">
        <v>160.48214947656359</v>
      </c>
      <c r="D36" s="20">
        <v>226.69461736096022</v>
      </c>
      <c r="E36" s="20">
        <v>286.70765533726177</v>
      </c>
      <c r="F36" s="20">
        <f>13598/15.6466</f>
        <v>869.07059680697409</v>
      </c>
      <c r="G36" s="20">
        <f>13310/15.6466+1</f>
        <v>851.66404202830006</v>
      </c>
      <c r="H36" s="20">
        <f>33.076+9.462</f>
        <v>42.537999999999997</v>
      </c>
      <c r="I36" s="20">
        <v>29.692</v>
      </c>
      <c r="J36" s="20">
        <v>103</v>
      </c>
      <c r="K36" s="20">
        <v>156</v>
      </c>
      <c r="L36" s="20">
        <v>127.628</v>
      </c>
      <c r="M36" s="20">
        <v>197</v>
      </c>
      <c r="N36" s="20">
        <v>268</v>
      </c>
      <c r="O36" s="20">
        <v>399</v>
      </c>
    </row>
    <row r="37" spans="1:15" s="22" customFormat="1" ht="13" x14ac:dyDescent="0.3">
      <c r="A37" s="19" t="s">
        <v>68</v>
      </c>
      <c r="B37" s="20"/>
      <c r="C37" s="21"/>
      <c r="D37" s="20"/>
      <c r="E37" s="20"/>
      <c r="F37" s="20">
        <f>91/15.6466</f>
        <v>5.8159600168726753</v>
      </c>
      <c r="G37" s="20">
        <f>91/15.6466</f>
        <v>5.8159600168726753</v>
      </c>
      <c r="H37" s="20">
        <f>17.423+5.808</f>
        <v>23.230999999999998</v>
      </c>
      <c r="I37" s="20">
        <f>178.57+23.23</f>
        <v>201.79999999999998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s="22" customFormat="1" ht="13.5" customHeight="1" x14ac:dyDescent="0.3">
      <c r="A38" s="19" t="s">
        <v>60</v>
      </c>
      <c r="B38" s="20"/>
      <c r="C38" s="21"/>
      <c r="D38" s="20"/>
      <c r="E38" s="20"/>
      <c r="F38" s="20">
        <f>(39116+8750)/15.6466</f>
        <v>3059.1949688750274</v>
      </c>
      <c r="G38" s="20">
        <f>(39116+8750)/15.6466</f>
        <v>3059.1949688750274</v>
      </c>
      <c r="H38" s="20">
        <f>111.754</f>
        <v>111.754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s="22" customFormat="1" ht="13" x14ac:dyDescent="0.3">
      <c r="A39" s="19" t="s">
        <v>69</v>
      </c>
      <c r="B39" s="20"/>
      <c r="C39" s="21"/>
      <c r="D39" s="20"/>
      <c r="E39" s="20"/>
      <c r="F39" s="20"/>
      <c r="G39" s="20"/>
      <c r="H39" s="20">
        <v>0</v>
      </c>
      <c r="I39" s="20">
        <v>0</v>
      </c>
      <c r="J39" s="20">
        <v>275</v>
      </c>
      <c r="K39" s="20">
        <f>293+397</f>
        <v>690</v>
      </c>
      <c r="L39" s="20">
        <v>638</v>
      </c>
      <c r="M39" s="20">
        <v>753</v>
      </c>
      <c r="N39" s="20">
        <f>342+462</f>
        <v>804</v>
      </c>
      <c r="O39" s="20">
        <f>568+375</f>
        <v>943</v>
      </c>
    </row>
    <row r="40" spans="1:15" x14ac:dyDescent="0.25">
      <c r="A40" s="17" t="s">
        <v>53</v>
      </c>
      <c r="B40" s="8">
        <v>318.38028709112524</v>
      </c>
      <c r="C40" s="7">
        <v>248.42151010443166</v>
      </c>
      <c r="D40" s="8">
        <v>915.98174683317779</v>
      </c>
      <c r="E40" s="8">
        <v>1069.6253499162758</v>
      </c>
      <c r="F40" s="8">
        <f>21191/15.6466</f>
        <v>1354.3517441488887</v>
      </c>
      <c r="G40" s="8">
        <f>19904/15.6466</f>
        <v>1272.0974524816893</v>
      </c>
      <c r="H40" s="8">
        <v>99.673000000000002</v>
      </c>
      <c r="I40" s="8">
        <v>521.94500000000005</v>
      </c>
      <c r="J40" s="8">
        <v>461</v>
      </c>
      <c r="K40" s="8">
        <v>560</v>
      </c>
      <c r="L40" s="8">
        <v>880.202</v>
      </c>
      <c r="M40" s="8">
        <v>818</v>
      </c>
      <c r="N40" s="8">
        <v>390</v>
      </c>
      <c r="O40" s="8">
        <v>241</v>
      </c>
    </row>
    <row r="41" spans="1:15" x14ac:dyDescent="0.25">
      <c r="A41" s="17" t="s">
        <v>54</v>
      </c>
      <c r="B41" s="8">
        <v>103.77800927997137</v>
      </c>
      <c r="C41" s="7">
        <v>136.39704472537167</v>
      </c>
      <c r="D41" s="8">
        <v>99.702171717817293</v>
      </c>
      <c r="E41" s="8">
        <v>136.77092786931345</v>
      </c>
      <c r="F41" s="8">
        <f>1812/15.6466</f>
        <v>115.807907149157</v>
      </c>
      <c r="G41" s="8">
        <f>2132/15.6466</f>
        <v>136.25963468101696</v>
      </c>
      <c r="H41" s="8">
        <v>122.08799999999999</v>
      </c>
      <c r="I41" s="8">
        <v>106.605</v>
      </c>
      <c r="J41" s="8">
        <v>112</v>
      </c>
      <c r="K41" s="8">
        <v>129</v>
      </c>
      <c r="L41" s="8">
        <v>130.81899999999999</v>
      </c>
      <c r="M41" s="8">
        <v>194</v>
      </c>
      <c r="N41" s="8">
        <v>215</v>
      </c>
      <c r="O41" s="8">
        <v>258</v>
      </c>
    </row>
    <row r="42" spans="1:15" x14ac:dyDescent="0.25">
      <c r="A42" s="17" t="s">
        <v>55</v>
      </c>
      <c r="B42" s="8">
        <v>196.95198956961897</v>
      </c>
      <c r="C42" s="7">
        <v>199.27466670075287</v>
      </c>
      <c r="D42" s="8">
        <v>225.99158922705254</v>
      </c>
      <c r="E42" s="8">
        <v>227.14199890071964</v>
      </c>
      <c r="F42" s="8">
        <f>2895/15.6466</f>
        <v>185.02422251479555</v>
      </c>
      <c r="G42" s="8">
        <f>3050/15.6466</f>
        <v>194.93052803804022</v>
      </c>
      <c r="H42" s="8">
        <v>181.01300000000001</v>
      </c>
      <c r="I42" s="8">
        <v>172.571</v>
      </c>
      <c r="J42" s="8">
        <v>195</v>
      </c>
      <c r="K42" s="8">
        <v>168</v>
      </c>
      <c r="L42" s="8">
        <v>143.18899999999999</v>
      </c>
      <c r="M42" s="8">
        <v>149</v>
      </c>
      <c r="N42" s="8">
        <v>177</v>
      </c>
      <c r="O42" s="8">
        <v>190</v>
      </c>
    </row>
    <row r="43" spans="1:15" x14ac:dyDescent="0.25">
      <c r="A43" s="17" t="s">
        <v>56</v>
      </c>
      <c r="B43" s="8">
        <v>63.252975087239399</v>
      </c>
      <c r="C43" s="7">
        <v>1.9173494561118711</v>
      </c>
      <c r="D43" s="8">
        <v>21.218667314304707</v>
      </c>
      <c r="E43" s="8">
        <v>29.974563163882252</v>
      </c>
      <c r="F43" s="8">
        <f>(8434+18)/15.6466</f>
        <v>540.18125343525116</v>
      </c>
      <c r="G43" s="8">
        <f>(3765+18)/15.6466</f>
        <v>241.77776641570694</v>
      </c>
      <c r="H43" s="8">
        <v>7</v>
      </c>
      <c r="I43" s="8">
        <v>1.66E-2</v>
      </c>
      <c r="J43" s="8">
        <f>787-J42-J41-J40</f>
        <v>19</v>
      </c>
      <c r="K43" s="8">
        <f>892-K40-K41-K42</f>
        <v>35</v>
      </c>
      <c r="L43" s="8">
        <f>1207.653-L42-L41-L40</f>
        <v>53.442999999999984</v>
      </c>
      <c r="M43" s="8">
        <f>1230-M42-M41-M40</f>
        <v>69</v>
      </c>
      <c r="N43" s="8">
        <f>848-N42-N41-N40</f>
        <v>66</v>
      </c>
      <c r="O43" s="8">
        <f>733-O42-O41-O40</f>
        <v>44</v>
      </c>
    </row>
    <row r="44" spans="1:15" ht="13" x14ac:dyDescent="0.3">
      <c r="A44" s="16" t="s">
        <v>57</v>
      </c>
      <c r="B44" s="11">
        <f t="shared" ref="B44:J44" si="17">SUM(B40:B43,B34,B33)</f>
        <v>1075.4781869543544</v>
      </c>
      <c r="C44" s="10">
        <f t="shared" si="17"/>
        <v>1045.3718379711886</v>
      </c>
      <c r="D44" s="11">
        <f t="shared" si="17"/>
        <v>2421.67627471783</v>
      </c>
      <c r="E44" s="11">
        <f t="shared" si="17"/>
        <v>3055.9993864481744</v>
      </c>
      <c r="F44" s="11">
        <f t="shared" si="17"/>
        <v>11576.828192706404</v>
      </c>
      <c r="G44" s="11">
        <f t="shared" si="17"/>
        <v>11206.524101082665</v>
      </c>
      <c r="H44" s="11">
        <f t="shared" si="17"/>
        <v>812.04600000000005</v>
      </c>
      <c r="I44" s="11">
        <f t="shared" si="17"/>
        <v>1033.1376</v>
      </c>
      <c r="J44" s="11">
        <f t="shared" si="17"/>
        <v>1165</v>
      </c>
      <c r="K44" s="11">
        <f t="shared" ref="K44:L44" si="18">SUM(K40:K43,K34,K33)</f>
        <v>1738</v>
      </c>
      <c r="L44" s="11">
        <f t="shared" si="18"/>
        <v>1973.2809999999999</v>
      </c>
      <c r="M44" s="11">
        <f t="shared" ref="M44:N44" si="19">SUM(M40:M43,M34,M33)</f>
        <v>2180</v>
      </c>
      <c r="N44" s="11">
        <f t="shared" si="19"/>
        <v>1920</v>
      </c>
      <c r="O44" s="11">
        <f t="shared" ref="O44" si="20">SUM(O40:O43,O34,O33)</f>
        <v>2075</v>
      </c>
    </row>
    <row r="45" spans="1:15" ht="13" x14ac:dyDescent="0.3">
      <c r="A45" s="16" t="s">
        <v>58</v>
      </c>
      <c r="B45" s="8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25">
      <c r="A46" s="17" t="s">
        <v>59</v>
      </c>
      <c r="B46" s="8">
        <v>2106.3925069983256</v>
      </c>
      <c r="C46" s="7">
        <v>2209.6599261181345</v>
      </c>
      <c r="D46" s="8">
        <v>8404.1900476780902</v>
      </c>
      <c r="E46" s="8">
        <v>8473.8537445834882</v>
      </c>
      <c r="F46" s="8">
        <f>(7590)/15.6466</f>
        <v>485.08941239630337</v>
      </c>
      <c r="G46" s="8">
        <f>(1830+5666)/15.6466</f>
        <v>479.08171743381951</v>
      </c>
      <c r="H46" s="8">
        <f>1533.8276+5076.171</f>
        <v>6609.9986000000008</v>
      </c>
      <c r="I46" s="8">
        <f>6690.398+332.979</f>
        <v>7023.3770000000004</v>
      </c>
      <c r="J46" s="8">
        <f>SUM(J47:J51)</f>
        <v>10200</v>
      </c>
      <c r="K46" s="8">
        <f>SUM(K47:K51)</f>
        <v>17235</v>
      </c>
      <c r="L46" s="8">
        <f>SUM(L47:L51)</f>
        <v>17696.807000000001</v>
      </c>
      <c r="M46" s="8">
        <f>SUM(M47:M51)</f>
        <v>17955</v>
      </c>
      <c r="N46" s="8">
        <f>SUM(N47:N51)</f>
        <v>11707</v>
      </c>
      <c r="O46" s="8">
        <f>SUM(O47:O51)</f>
        <v>10386</v>
      </c>
    </row>
    <row r="47" spans="1:15" s="22" customFormat="1" ht="15" customHeight="1" x14ac:dyDescent="0.3">
      <c r="A47" s="19" t="s">
        <v>60</v>
      </c>
      <c r="B47" s="20">
        <v>0</v>
      </c>
      <c r="C47" s="21">
        <v>0</v>
      </c>
      <c r="D47" s="20">
        <v>2499.9680441757314</v>
      </c>
      <c r="E47" s="20">
        <v>2968.0569580611764</v>
      </c>
      <c r="F47" s="20">
        <v>0</v>
      </c>
      <c r="G47" s="20">
        <v>0</v>
      </c>
      <c r="H47" s="20">
        <f>423.783+1387.216</f>
        <v>1810.9989999999998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s="22" customFormat="1" ht="13" x14ac:dyDescent="0.3">
      <c r="A48" s="19" t="s">
        <v>51</v>
      </c>
      <c r="B48" s="20">
        <v>0</v>
      </c>
      <c r="C48" s="21">
        <v>0</v>
      </c>
      <c r="D48" s="20">
        <v>4345.9921005202414</v>
      </c>
      <c r="E48" s="20">
        <v>4154.3849782061279</v>
      </c>
      <c r="F48" s="20">
        <v>0</v>
      </c>
      <c r="G48" s="20">
        <v>0</v>
      </c>
      <c r="H48" s="20">
        <f>855.045+2798.911</f>
        <v>3653.9560000000001</v>
      </c>
      <c r="I48" s="20">
        <f>6690.398+332.979</f>
        <v>7023.3770000000004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s="22" customFormat="1" ht="13" x14ac:dyDescent="0.3">
      <c r="A49" s="19" t="s">
        <v>52</v>
      </c>
      <c r="B49" s="20">
        <v>308.62935078547417</v>
      </c>
      <c r="C49" s="21">
        <v>368.38674216762746</v>
      </c>
      <c r="D49" s="20">
        <v>766.74804749913721</v>
      </c>
      <c r="E49" s="20">
        <v>859.03646798665523</v>
      </c>
      <c r="F49" s="20">
        <v>0</v>
      </c>
      <c r="G49" s="20">
        <f>0</f>
        <v>0</v>
      </c>
      <c r="H49" s="20">
        <f>125.428+410.577+35.881+117.453</f>
        <v>689.33899999999994</v>
      </c>
      <c r="I49" s="20">
        <v>112.092</v>
      </c>
      <c r="J49" s="20">
        <v>187</v>
      </c>
      <c r="K49" s="20">
        <v>313</v>
      </c>
      <c r="L49" s="20">
        <v>267.80700000000002</v>
      </c>
      <c r="M49" s="20">
        <v>544</v>
      </c>
      <c r="N49" s="20">
        <v>628</v>
      </c>
      <c r="O49" s="20">
        <v>453</v>
      </c>
    </row>
    <row r="50" spans="1:15" s="22" customFormat="1" ht="13" x14ac:dyDescent="0.3">
      <c r="A50" s="19" t="s">
        <v>68</v>
      </c>
      <c r="B50" s="20"/>
      <c r="C50" s="21"/>
      <c r="D50" s="20"/>
      <c r="E50" s="20"/>
      <c r="F50" s="20">
        <f>(7300+182)/15.6466</f>
        <v>478.18695435430061</v>
      </c>
      <c r="G50" s="20">
        <f>(1727+5573+91)/15.6466</f>
        <v>472.37099433742793</v>
      </c>
      <c r="H50" s="20">
        <f>92.922+356.21</f>
        <v>449.13199999999995</v>
      </c>
      <c r="I50" s="20">
        <f>4821.43+92.923+332.979</f>
        <v>5247.3320000000003</v>
      </c>
      <c r="J50" s="20">
        <v>0</v>
      </c>
      <c r="K50" s="20">
        <v>0</v>
      </c>
      <c r="L50" s="20">
        <v>113</v>
      </c>
      <c r="M50" s="20">
        <v>113</v>
      </c>
      <c r="N50" s="20">
        <v>113</v>
      </c>
      <c r="O50" s="20">
        <v>0</v>
      </c>
    </row>
    <row r="51" spans="1:15" s="22" customFormat="1" ht="13" x14ac:dyDescent="0.3">
      <c r="A51" s="19" t="s">
        <v>69</v>
      </c>
      <c r="B51" s="20"/>
      <c r="C51" s="21"/>
      <c r="D51" s="20"/>
      <c r="E51" s="20"/>
      <c r="F51" s="20">
        <v>0</v>
      </c>
      <c r="G51" s="20">
        <v>0</v>
      </c>
      <c r="H51" s="20">
        <v>0</v>
      </c>
      <c r="I51" s="20">
        <f>1663.953</f>
        <v>1663.953</v>
      </c>
      <c r="J51" s="20">
        <f>1568+1215+3154+4076</f>
        <v>10013</v>
      </c>
      <c r="K51" s="20">
        <f>1569+830+1144+4165+9214</f>
        <v>16922</v>
      </c>
      <c r="L51" s="20">
        <f>17429-113</f>
        <v>17316</v>
      </c>
      <c r="M51" s="20">
        <f>17411-113</f>
        <v>17298</v>
      </c>
      <c r="N51" s="20">
        <f>11707-N50-N49</f>
        <v>10966</v>
      </c>
      <c r="O51" s="20">
        <v>9933</v>
      </c>
    </row>
    <row r="52" spans="1:15" x14ac:dyDescent="0.25">
      <c r="A52" s="17" t="s">
        <v>61</v>
      </c>
      <c r="B52" s="8">
        <v>314.84642030856543</v>
      </c>
      <c r="C52" s="7">
        <v>334.57748009152147</v>
      </c>
      <c r="D52" s="8">
        <v>272.00797617373746</v>
      </c>
      <c r="E52" s="8">
        <v>215.89354875819669</v>
      </c>
      <c r="F52" s="8">
        <f>(2620)/15.6466</f>
        <v>167.4485191671034</v>
      </c>
      <c r="G52" s="8">
        <f>(1862)/15.6466</f>
        <v>119.00348957601013</v>
      </c>
      <c r="H52" s="8">
        <f>373.418+84.596</f>
        <v>458.01400000000001</v>
      </c>
      <c r="I52" s="8">
        <f>7.119+5.751+57.831</f>
        <v>70.701000000000008</v>
      </c>
      <c r="J52" s="8">
        <f>138+9</f>
        <v>147</v>
      </c>
      <c r="K52" s="8">
        <f>263+6</f>
        <v>269</v>
      </c>
      <c r="L52" s="8">
        <f>405</f>
        <v>405</v>
      </c>
      <c r="M52" s="8">
        <v>507</v>
      </c>
      <c r="N52" s="8">
        <v>19</v>
      </c>
      <c r="O52" s="8">
        <v>5</v>
      </c>
    </row>
    <row r="53" spans="1:15" ht="13" x14ac:dyDescent="0.3">
      <c r="A53" s="16" t="s">
        <v>62</v>
      </c>
      <c r="B53" s="11">
        <f t="shared" ref="B53:J53" si="21">SUM(B52,B46)</f>
        <v>2421.2389273068911</v>
      </c>
      <c r="C53" s="10">
        <f t="shared" si="21"/>
        <v>2544.237406209656</v>
      </c>
      <c r="D53" s="11">
        <f t="shared" si="21"/>
        <v>8676.1980238518281</v>
      </c>
      <c r="E53" s="11">
        <f t="shared" si="21"/>
        <v>8689.7472933416848</v>
      </c>
      <c r="F53" s="11">
        <f t="shared" si="21"/>
        <v>652.5379315634068</v>
      </c>
      <c r="G53" s="11">
        <f t="shared" si="21"/>
        <v>598.08520700982967</v>
      </c>
      <c r="H53" s="11">
        <f t="shared" si="21"/>
        <v>7068.0126000000009</v>
      </c>
      <c r="I53" s="11">
        <f t="shared" si="21"/>
        <v>7094.0780000000004</v>
      </c>
      <c r="J53" s="11">
        <f t="shared" si="21"/>
        <v>10347</v>
      </c>
      <c r="K53" s="11">
        <f t="shared" ref="K53:L53" si="22">SUM(K52,K46)</f>
        <v>17504</v>
      </c>
      <c r="L53" s="11">
        <f t="shared" si="22"/>
        <v>18101.807000000001</v>
      </c>
      <c r="M53" s="11">
        <f t="shared" ref="M53:N53" si="23">SUM(M52,M46)</f>
        <v>18462</v>
      </c>
      <c r="N53" s="11">
        <f t="shared" si="23"/>
        <v>11726</v>
      </c>
      <c r="O53" s="11">
        <f t="shared" ref="O53" si="24">SUM(O52,O46)</f>
        <v>10391</v>
      </c>
    </row>
    <row r="54" spans="1:15" ht="13" x14ac:dyDescent="0.3">
      <c r="A54" s="16" t="s">
        <v>63</v>
      </c>
      <c r="B54" s="8"/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17" t="s">
        <v>64</v>
      </c>
      <c r="B55" s="8">
        <v>1936.1330896169138</v>
      </c>
      <c r="C55" s="7">
        <v>1936.1330896169138</v>
      </c>
      <c r="D55" s="8">
        <v>1936.1330896169138</v>
      </c>
      <c r="E55" s="8">
        <v>1936.1330896169138</v>
      </c>
      <c r="F55" s="8">
        <f>30294/15.6466</f>
        <v>1936.1394807817674</v>
      </c>
      <c r="G55" s="8">
        <f>30294/15.6466</f>
        <v>1936.1394807817674</v>
      </c>
      <c r="H55" s="8">
        <v>1936.133</v>
      </c>
      <c r="I55" s="8">
        <v>1936.133</v>
      </c>
      <c r="J55" s="8">
        <v>1936.133</v>
      </c>
      <c r="K55" s="8">
        <v>1936</v>
      </c>
      <c r="L55" s="8">
        <v>1936</v>
      </c>
      <c r="M55" s="8">
        <v>1936</v>
      </c>
      <c r="N55" s="8">
        <v>1936</v>
      </c>
      <c r="O55" s="8">
        <v>1936</v>
      </c>
    </row>
    <row r="56" spans="1:15" x14ac:dyDescent="0.25">
      <c r="A56" s="17" t="s">
        <v>88</v>
      </c>
      <c r="B56" s="8">
        <v>207.69962803420552</v>
      </c>
      <c r="C56" s="7">
        <v>207.69962803420552</v>
      </c>
      <c r="D56" s="8">
        <v>207.69962803420552</v>
      </c>
      <c r="E56" s="8">
        <v>207.69962803420552</v>
      </c>
      <c r="F56" s="8">
        <f>3250/15.6466</f>
        <v>207.71285774545268</v>
      </c>
      <c r="G56" s="8">
        <f>3250/15.6466</f>
        <v>207.71285774545268</v>
      </c>
      <c r="H56" s="8">
        <v>207.69962803420552</v>
      </c>
      <c r="I56" s="8">
        <v>207.69962803420552</v>
      </c>
      <c r="J56" s="8">
        <v>207.69962803420552</v>
      </c>
      <c r="K56" s="8">
        <v>208</v>
      </c>
      <c r="L56" s="8">
        <v>208</v>
      </c>
      <c r="M56" s="8">
        <v>208</v>
      </c>
      <c r="N56" s="8">
        <f>208+6121</f>
        <v>6329</v>
      </c>
      <c r="O56" s="8">
        <f>208+6121</f>
        <v>6329</v>
      </c>
    </row>
    <row r="57" spans="1:15" x14ac:dyDescent="0.25">
      <c r="A57" s="17" t="s">
        <v>65</v>
      </c>
      <c r="B57" s="8">
        <v>4352.631562128513</v>
      </c>
      <c r="C57" s="7">
        <v>4811.3819615763168</v>
      </c>
      <c r="D57" s="8">
        <v>5855.4574156685803</v>
      </c>
      <c r="E57" s="8">
        <v>5280.5082254291665</v>
      </c>
      <c r="F57" s="8">
        <f>(82622-142214)/15.6466</f>
        <v>-3808.6229596206208</v>
      </c>
      <c r="G57" s="8">
        <f>(-59592+2445)/15.6466</f>
        <v>-3652.3589789475031</v>
      </c>
      <c r="H57" s="8">
        <f>-3652.342+3676.21</f>
        <v>23.867999999999938</v>
      </c>
      <c r="I57" s="8">
        <f>23.868-558.45</f>
        <v>-534.58199999999999</v>
      </c>
      <c r="J57" s="8">
        <f>-476+331</f>
        <v>-145</v>
      </c>
      <c r="K57" s="8">
        <f>-145+35</f>
        <v>-110</v>
      </c>
      <c r="L57" s="8">
        <f>-109.645-457.751-1</f>
        <v>-568.39599999999996</v>
      </c>
      <c r="M57" s="8">
        <f>-568-1186</f>
        <v>-1754</v>
      </c>
      <c r="N57" s="8">
        <f>-1753+2460</f>
        <v>707</v>
      </c>
      <c r="O57" s="8">
        <f>707+1916</f>
        <v>2623</v>
      </c>
    </row>
    <row r="58" spans="1:15" ht="13" x14ac:dyDescent="0.3">
      <c r="A58" s="16" t="s">
        <v>66</v>
      </c>
      <c r="B58" s="11">
        <f t="shared" ref="B58:J58" si="25">SUM(B55:B57)</f>
        <v>6496.4642797796323</v>
      </c>
      <c r="C58" s="10">
        <f t="shared" si="25"/>
        <v>6955.2146792274361</v>
      </c>
      <c r="D58" s="11">
        <f t="shared" si="25"/>
        <v>7999.2901333196996</v>
      </c>
      <c r="E58" s="11">
        <f t="shared" si="25"/>
        <v>7424.3409430802858</v>
      </c>
      <c r="F58" s="11">
        <f t="shared" si="25"/>
        <v>-1664.7706210934007</v>
      </c>
      <c r="G58" s="11">
        <f t="shared" si="25"/>
        <v>-1508.506640420283</v>
      </c>
      <c r="H58" s="11">
        <f t="shared" si="25"/>
        <v>2167.7006280342057</v>
      </c>
      <c r="I58" s="11">
        <f t="shared" si="25"/>
        <v>1609.2506280342059</v>
      </c>
      <c r="J58" s="11">
        <f t="shared" si="25"/>
        <v>1998.8326280342058</v>
      </c>
      <c r="K58" s="11">
        <f t="shared" ref="K58:L58" si="26">SUM(K55:K57)</f>
        <v>2034</v>
      </c>
      <c r="L58" s="11">
        <f t="shared" si="26"/>
        <v>1575.604</v>
      </c>
      <c r="M58" s="11">
        <f t="shared" ref="M58:N58" si="27">SUM(M55:M57)</f>
        <v>390</v>
      </c>
      <c r="N58" s="11">
        <f t="shared" si="27"/>
        <v>8972</v>
      </c>
      <c r="O58" s="11">
        <f t="shared" ref="O58" si="28">SUM(O55:O57)</f>
        <v>10888</v>
      </c>
    </row>
    <row r="59" spans="1:15" x14ac:dyDescent="0.25">
      <c r="A59" s="17"/>
      <c r="B59" s="8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3" x14ac:dyDescent="0.3">
      <c r="A60" s="16" t="s">
        <v>67</v>
      </c>
      <c r="B60" s="11">
        <f t="shared" ref="B60:I60" si="29">B58+B53+B44</f>
        <v>9993.1813940408792</v>
      </c>
      <c r="C60" s="10">
        <f t="shared" si="29"/>
        <v>10544.823923408281</v>
      </c>
      <c r="D60" s="11">
        <f t="shared" si="29"/>
        <v>19097.164431889356</v>
      </c>
      <c r="E60" s="11">
        <f t="shared" si="29"/>
        <v>19170.087622870145</v>
      </c>
      <c r="F60" s="11">
        <f t="shared" si="29"/>
        <v>10564.59550317641</v>
      </c>
      <c r="G60" s="11">
        <f t="shared" si="29"/>
        <v>10296.102667672212</v>
      </c>
      <c r="H60" s="11">
        <f t="shared" si="29"/>
        <v>10047.759228034207</v>
      </c>
      <c r="I60" s="11">
        <f t="shared" si="29"/>
        <v>9736.4662280342072</v>
      </c>
      <c r="J60" s="11">
        <f t="shared" ref="J60:K60" si="30">J58+J53+J44</f>
        <v>13510.832628034206</v>
      </c>
      <c r="K60" s="11">
        <f t="shared" si="30"/>
        <v>21276</v>
      </c>
      <c r="L60" s="11">
        <f t="shared" ref="L60:M60" si="31">L58+L53+L44</f>
        <v>21650.691999999999</v>
      </c>
      <c r="M60" s="11">
        <f t="shared" si="31"/>
        <v>21032</v>
      </c>
      <c r="N60" s="11">
        <f t="shared" ref="N60:O60" si="32">N58+N53+N44</f>
        <v>22618</v>
      </c>
      <c r="O60" s="11">
        <f t="shared" si="32"/>
        <v>23354</v>
      </c>
    </row>
    <row r="61" spans="1:15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Figure 3 updated</vt:lpstr>
      <vt:lpstr>Figure 4 updated</vt:lpstr>
      <vt:lpstr>Figure 5 updated</vt:lpstr>
      <vt:lpstr>Figure 6 updated</vt:lpstr>
      <vt:lpstr>Appendix 3 updated</vt:lpstr>
      <vt:lpstr>Appendix 4 updated</vt:lpstr>
      <vt:lpstr>'Figure 3 updated'!Print_Area</vt:lpstr>
      <vt:lpstr>'Figure 4 updated'!Print_Area</vt:lpstr>
      <vt:lpstr>'Figure 5 updated'!Print_Area</vt:lpstr>
      <vt:lpstr>'Figure 6 updated'!Print_Area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Laivi Laidroo</dc:creator>
  <cp:lastModifiedBy>Laivi Laidroo</cp:lastModifiedBy>
  <cp:lastPrinted>2018-10-25T18:31:38Z</cp:lastPrinted>
  <dcterms:created xsi:type="dcterms:W3CDTF">2013-10-23T05:47:49Z</dcterms:created>
  <dcterms:modified xsi:type="dcterms:W3CDTF">2019-06-24T18:28:03Z</dcterms:modified>
</cp:coreProperties>
</file>