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ttu.ee\home\Laivi.Laidroo\Documents\Minu antud loengud Oct 2010 forward\2015 Kaasusanalüüs\Väätsa Agro Case\"/>
    </mc:Choice>
  </mc:AlternateContent>
  <bookViews>
    <workbookView xWindow="90" yWindow="60" windowWidth="19035" windowHeight="7275" tabRatio="790" activeTab="3"/>
  </bookViews>
  <sheets>
    <sheet name="Figure 2" sheetId="1" r:id="rId1"/>
    <sheet name="Figure 3" sheetId="2" r:id="rId2"/>
    <sheet name="Figure 4" sheetId="3" r:id="rId3"/>
    <sheet name="Figure 5" sheetId="4" r:id="rId4"/>
    <sheet name="Figure 6" sheetId="5" r:id="rId5"/>
    <sheet name="Table 1" sheetId="6" r:id="rId6"/>
    <sheet name="Table 2" sheetId="7" r:id="rId7"/>
    <sheet name="Appendix 1" sheetId="8" r:id="rId8"/>
    <sheet name="Appendix 2" sheetId="9" r:id="rId9"/>
    <sheet name="Appendix 3" sheetId="10" r:id="rId10"/>
    <sheet name="Appendix 4" sheetId="11" r:id="rId11"/>
    <sheet name="Appendix 5" sheetId="12" r:id="rId12"/>
  </sheets>
  <calcPr calcId="152511" concurrentCalc="0"/>
</workbook>
</file>

<file path=xl/calcChain.xml><?xml version="1.0" encoding="utf-8"?>
<calcChain xmlns="http://schemas.openxmlformats.org/spreadsheetml/2006/main">
  <c r="E35" i="12" l="1"/>
  <c r="D35" i="12"/>
  <c r="C35" i="12"/>
  <c r="B35" i="12"/>
  <c r="E25" i="12"/>
  <c r="D25" i="12"/>
  <c r="C25" i="12"/>
  <c r="B25" i="12"/>
  <c r="E16" i="12"/>
  <c r="E37" i="12"/>
  <c r="D16" i="12"/>
  <c r="D37" i="12"/>
  <c r="C16" i="12"/>
  <c r="C37" i="12"/>
  <c r="B16" i="12"/>
  <c r="B37" i="12"/>
  <c r="E52" i="11"/>
  <c r="E47" i="11"/>
  <c r="E40" i="11"/>
  <c r="E54" i="11"/>
  <c r="D52" i="11"/>
  <c r="D47" i="11"/>
  <c r="D40" i="11"/>
  <c r="D54" i="11"/>
  <c r="C52" i="11"/>
  <c r="C47" i="11"/>
  <c r="C40" i="11"/>
  <c r="C54" i="11"/>
  <c r="B52" i="11"/>
  <c r="B47" i="11"/>
  <c r="B40" i="11"/>
  <c r="B54" i="11"/>
  <c r="E26" i="11"/>
  <c r="E27" i="11"/>
  <c r="D26" i="11"/>
  <c r="D27" i="11"/>
  <c r="C26" i="11"/>
  <c r="C27" i="11"/>
  <c r="B26" i="11"/>
  <c r="B27" i="11"/>
  <c r="E14" i="11"/>
  <c r="E15" i="11"/>
  <c r="D14" i="11"/>
  <c r="D15" i="11"/>
  <c r="C14" i="11"/>
  <c r="C15" i="11"/>
  <c r="B14" i="11"/>
  <c r="B15" i="11"/>
  <c r="E6" i="10"/>
  <c r="E17" i="10"/>
  <c r="E19" i="10"/>
  <c r="E25" i="10"/>
  <c r="E27" i="10"/>
  <c r="F17" i="10"/>
  <c r="D17" i="10"/>
  <c r="C17" i="10"/>
  <c r="B17" i="10"/>
  <c r="F6" i="10"/>
  <c r="F19" i="10"/>
  <c r="F25" i="10"/>
  <c r="F27" i="10"/>
  <c r="D6" i="10"/>
  <c r="D19" i="10"/>
  <c r="D25" i="10"/>
  <c r="D27" i="10"/>
  <c r="C6" i="10"/>
  <c r="C19" i="10"/>
  <c r="C25" i="10"/>
  <c r="C27" i="10"/>
  <c r="B6" i="10"/>
  <c r="B19" i="10"/>
  <c r="B25" i="10"/>
  <c r="B27" i="10"/>
  <c r="G25" i="9"/>
  <c r="F25" i="9"/>
  <c r="E25" i="9"/>
  <c r="D25" i="9"/>
  <c r="G24" i="9"/>
  <c r="F24" i="9"/>
  <c r="E24" i="9"/>
  <c r="D24" i="9"/>
  <c r="G23" i="9"/>
  <c r="F23" i="9"/>
  <c r="E23" i="9"/>
  <c r="D23" i="9"/>
  <c r="G22" i="9"/>
  <c r="F22" i="9"/>
  <c r="E22" i="9"/>
  <c r="D22" i="9"/>
  <c r="G21" i="9"/>
  <c r="F21" i="9"/>
  <c r="E21" i="9"/>
  <c r="D21" i="9"/>
  <c r="G20" i="9"/>
  <c r="F20" i="9"/>
  <c r="E20" i="9"/>
  <c r="D20" i="9"/>
  <c r="G19" i="9"/>
  <c r="F19" i="9"/>
  <c r="E19" i="9"/>
  <c r="D19" i="9"/>
  <c r="G18" i="9"/>
  <c r="F18" i="9"/>
  <c r="E18" i="9"/>
  <c r="D18" i="9"/>
  <c r="G17" i="9"/>
  <c r="F17" i="9"/>
  <c r="E17" i="9"/>
  <c r="D17" i="9"/>
  <c r="G16" i="9"/>
  <c r="F16" i="9"/>
  <c r="E16" i="9"/>
  <c r="D16" i="9"/>
  <c r="G15" i="9"/>
  <c r="F15" i="9"/>
  <c r="E15" i="9"/>
  <c r="D15" i="9"/>
  <c r="G14" i="9"/>
  <c r="F14" i="9"/>
  <c r="E14" i="9"/>
  <c r="D14" i="9"/>
  <c r="G13" i="9"/>
  <c r="F13" i="9"/>
  <c r="E13" i="9"/>
  <c r="D13" i="9"/>
  <c r="G12" i="9"/>
  <c r="F12" i="9"/>
  <c r="E12" i="9"/>
  <c r="D12" i="9"/>
  <c r="G11" i="9"/>
  <c r="F11" i="9"/>
  <c r="E11" i="9"/>
  <c r="D11" i="9"/>
  <c r="G10" i="9"/>
  <c r="F10" i="9"/>
  <c r="E10" i="9"/>
  <c r="D10" i="9"/>
  <c r="G9" i="9"/>
  <c r="F9" i="9"/>
  <c r="E9" i="9"/>
  <c r="D9" i="9"/>
  <c r="G8" i="9"/>
  <c r="F8" i="9"/>
  <c r="E8" i="9"/>
  <c r="D8" i="9"/>
  <c r="G5" i="9"/>
  <c r="F5" i="9"/>
  <c r="E5" i="9"/>
  <c r="D5" i="9"/>
  <c r="I16" i="8"/>
  <c r="I15" i="8"/>
  <c r="I14" i="8"/>
  <c r="I13" i="8"/>
  <c r="I12" i="8"/>
  <c r="I11" i="8"/>
  <c r="I10" i="8"/>
  <c r="J4" i="5"/>
  <c r="D1" i="5"/>
  <c r="E1" i="5"/>
  <c r="F1" i="5"/>
  <c r="G1" i="5"/>
  <c r="H1" i="5"/>
  <c r="I1" i="5"/>
  <c r="B29" i="11"/>
  <c r="C29" i="11"/>
  <c r="D29" i="11"/>
  <c r="E29" i="11"/>
</calcChain>
</file>

<file path=xl/comments1.xml><?xml version="1.0" encoding="utf-8"?>
<comments xmlns="http://schemas.openxmlformats.org/spreadsheetml/2006/main">
  <authors>
    <author>Laivi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186"/>
          </rPr>
          <t>Laivi:</t>
        </r>
        <r>
          <rPr>
            <sz val="8"/>
            <color indexed="81"/>
            <rFont val="Tahoma"/>
            <family val="2"/>
            <charset val="186"/>
          </rPr>
          <t xml:space="preserve">
(for consumption: wintershoots, young ox, pigs grown for sale; for production: cows, young pigs young pigs)</t>
        </r>
      </text>
    </comment>
  </commentList>
</comments>
</file>

<file path=xl/sharedStrings.xml><?xml version="1.0" encoding="utf-8"?>
<sst xmlns="http://schemas.openxmlformats.org/spreadsheetml/2006/main" count="203" uniqueCount="178">
  <si>
    <t>Grain</t>
  </si>
  <si>
    <t>Perennial hay</t>
  </si>
  <si>
    <t>Potatoes, rape etc.</t>
  </si>
  <si>
    <r>
      <rPr>
        <b/>
        <sz val="10"/>
        <color theme="1"/>
        <rFont val="Arial"/>
        <family val="2"/>
        <charset val="186"/>
      </rPr>
      <t>Figure 2.</t>
    </r>
    <r>
      <rPr>
        <sz val="10"/>
        <color theme="1"/>
        <rFont val="Arial"/>
        <family val="2"/>
        <charset val="186"/>
      </rPr>
      <t xml:space="preserve"> Agricultural land use by Väätsa Agro AS during 2002-2008.</t>
    </r>
  </si>
  <si>
    <t>Source: Väätsa Agro AS annual reports 2003-2008</t>
  </si>
  <si>
    <t>Cattle</t>
  </si>
  <si>
    <t>incl. cows</t>
  </si>
  <si>
    <t>Pigs</t>
  </si>
  <si>
    <r>
      <rPr>
        <b/>
        <sz val="11"/>
        <color theme="1"/>
        <rFont val="Calibri"/>
        <family val="2"/>
        <charset val="186"/>
        <scheme val="minor"/>
      </rPr>
      <t>Figure 3.</t>
    </r>
    <r>
      <rPr>
        <sz val="11"/>
        <color theme="1"/>
        <rFont val="Calibri"/>
        <family val="2"/>
        <charset val="186"/>
        <scheme val="minor"/>
      </rPr>
      <t xml:space="preserve"> Väätsa Agro AS livestock 2002-2008</t>
    </r>
  </si>
  <si>
    <r>
      <rPr>
        <i/>
        <sz val="11"/>
        <color theme="1"/>
        <rFont val="Calibri"/>
        <family val="2"/>
        <charset val="186"/>
        <scheme val="minor"/>
      </rPr>
      <t>Source:</t>
    </r>
    <r>
      <rPr>
        <sz val="11"/>
        <color theme="1"/>
        <rFont val="Calibri"/>
        <family val="2"/>
        <charset val="186"/>
        <scheme val="minor"/>
      </rPr>
      <t xml:space="preserve"> Väätsa Agro AS annual reports 2003-2008</t>
    </r>
  </si>
  <si>
    <t>Total milk production (tons)</t>
  </si>
  <si>
    <t>Milk per cow (kg)</t>
  </si>
  <si>
    <r>
      <rPr>
        <b/>
        <sz val="11"/>
        <color theme="1"/>
        <rFont val="Calibri"/>
        <family val="2"/>
        <charset val="186"/>
        <scheme val="minor"/>
      </rPr>
      <t>Figure 4.</t>
    </r>
    <r>
      <rPr>
        <sz val="11"/>
        <color theme="1"/>
        <rFont val="Calibri"/>
        <family val="2"/>
        <charset val="186"/>
        <scheme val="minor"/>
      </rPr>
      <t xml:space="preserve"> Väätsa Agro AS milk production 2002-2008 </t>
    </r>
  </si>
  <si>
    <t>Average milk per cow (kg)</t>
  </si>
  <si>
    <r>
      <rPr>
        <i/>
        <sz val="11"/>
        <color theme="1"/>
        <rFont val="Calibri"/>
        <family val="2"/>
        <charset val="186"/>
        <scheme val="minor"/>
      </rPr>
      <t xml:space="preserve">Source: </t>
    </r>
    <r>
      <rPr>
        <sz val="11"/>
        <color theme="1"/>
        <rFont val="Calibri"/>
        <family val="2"/>
        <charset val="186"/>
        <scheme val="minor"/>
      </rPr>
      <t>Statistic Estonia http://www.stat.ee/</t>
    </r>
  </si>
  <si>
    <t>August 2009</t>
  </si>
  <si>
    <t>EU average</t>
  </si>
  <si>
    <t>USA Class III</t>
  </si>
  <si>
    <t>Estonia average</t>
  </si>
  <si>
    <t>Väätsa Agro AS average</t>
  </si>
  <si>
    <r>
      <rPr>
        <b/>
        <sz val="11"/>
        <color theme="1"/>
        <rFont val="Calibri"/>
        <family val="2"/>
        <charset val="186"/>
        <scheme val="minor"/>
      </rPr>
      <t>Figure 6.</t>
    </r>
    <r>
      <rPr>
        <sz val="11"/>
        <color theme="1"/>
        <rFont val="Calibri"/>
        <family val="2"/>
        <charset val="186"/>
        <scheme val="minor"/>
      </rPr>
      <t xml:space="preserve"> Annual average milk price 2001-2008 and spot price in August 2009</t>
    </r>
  </si>
  <si>
    <r>
      <rPr>
        <i/>
        <sz val="11"/>
        <color theme="1"/>
        <rFont val="Calibri"/>
        <family val="2"/>
        <charset val="186"/>
        <scheme val="minor"/>
      </rPr>
      <t>Source:</t>
    </r>
    <r>
      <rPr>
        <sz val="11"/>
        <color theme="1"/>
        <rFont val="Calibri"/>
        <family val="2"/>
        <charset val="186"/>
        <scheme val="minor"/>
      </rPr>
      <t xml:space="preserve"> EU average and US Class III: LTO International Milk Price Comparison (http://www.milkprices.nl ); Estonian average from Statistics Estonia (http://www.stat.ee/) and Väätsa Agro AS average (annual reports 2002-2009)</t>
    </r>
  </si>
  <si>
    <r>
      <rPr>
        <b/>
        <sz val="10"/>
        <color theme="1"/>
        <rFont val="Arial"/>
        <family val="2"/>
        <charset val="186"/>
      </rPr>
      <t>Table 1.</t>
    </r>
    <r>
      <rPr>
        <sz val="10"/>
        <color theme="1"/>
        <rFont val="Arial"/>
        <family val="2"/>
        <charset val="186"/>
      </rPr>
      <t xml:space="preserve"> Väätsa Agro AS agricultural production statistics 2002-2010</t>
    </r>
  </si>
  <si>
    <t>Grain (dry weight tons)</t>
  </si>
  <si>
    <t>Grain  (centner/ha)</t>
  </si>
  <si>
    <t>Silo (tons)</t>
  </si>
  <si>
    <t>Organic fertilizers (tons/ha)</t>
  </si>
  <si>
    <t>Mineral fertilizers (kg/ha)</t>
  </si>
  <si>
    <r>
      <rPr>
        <i/>
        <sz val="10"/>
        <color theme="1"/>
        <rFont val="Arial"/>
        <family val="2"/>
        <charset val="186"/>
      </rPr>
      <t>Source:</t>
    </r>
    <r>
      <rPr>
        <sz val="10"/>
        <color theme="1"/>
        <rFont val="Arial"/>
        <family val="2"/>
        <charset val="186"/>
      </rPr>
      <t xml:space="preserve"> Väätsa Agro AS annual reports 2003-2008</t>
    </r>
  </si>
  <si>
    <t>(in th EUR)</t>
  </si>
  <si>
    <t>Principal amount</t>
  </si>
  <si>
    <t>Amounts overdue</t>
  </si>
  <si>
    <t>Interest on late payment</t>
  </si>
  <si>
    <t>Swedbank AS</t>
  </si>
  <si>
    <t>Hanseatic Capital Estonia OÜ</t>
  </si>
  <si>
    <t>Swedbank Liising AS (leasing provider)</t>
  </si>
  <si>
    <t>Maaelu Edendamise Sihtasutus (state aid)</t>
  </si>
  <si>
    <r>
      <rPr>
        <i/>
        <sz val="10"/>
        <color theme="1"/>
        <rFont val="Arial"/>
        <family val="2"/>
        <charset val="186"/>
      </rPr>
      <t>Source:</t>
    </r>
    <r>
      <rPr>
        <sz val="10"/>
        <color theme="1"/>
        <rFont val="Arial"/>
        <family val="2"/>
        <charset val="186"/>
      </rPr>
      <t xml:space="preserve"> Estonian Supreme Court’s decision http://www.nc.ee/?id=11&amp;tekst=RK/3-2-1-25-11</t>
    </r>
  </si>
  <si>
    <t>APPENDIX 1. Estonia’s economic indicators</t>
  </si>
  <si>
    <t>Year</t>
  </si>
  <si>
    <t>GDP per capita in Estonia</t>
  </si>
  <si>
    <t>Real GDP year-on-year growth*</t>
  </si>
  <si>
    <t>FDI intensity (average of inward and outward FDI divided by GDP)*</t>
  </si>
  <si>
    <t>Loans granted by financial institutions to non-financial companies in Estonia***</t>
  </si>
  <si>
    <t>Index 100 = EU 27 countries*</t>
  </si>
  <si>
    <t xml:space="preserve">Estonia EUR per capita** </t>
  </si>
  <si>
    <t>Estonia</t>
  </si>
  <si>
    <t>EU  27 countries</t>
  </si>
  <si>
    <t>EU 25 countries</t>
  </si>
  <si>
    <t>balance at the end of year (mio EUR)</t>
  </si>
  <si>
    <t>year-on-year growth in balances</t>
  </si>
  <si>
    <t>APPENDIX 2. Väätsa Agro AS main competitors</t>
  </si>
  <si>
    <t>Väätsa Agro AS</t>
  </si>
  <si>
    <t>OÜ Estonia</t>
  </si>
  <si>
    <t>Aravete Agro OÜ</t>
  </si>
  <si>
    <t>OÜ Põlva Agro</t>
  </si>
  <si>
    <t>AS Tartu Agro</t>
  </si>
  <si>
    <t>Quota (mio tons)</t>
  </si>
  <si>
    <t>Number of employees</t>
  </si>
  <si>
    <t>% of sales from milk</t>
  </si>
  <si>
    <t>Financial data (th EUR)</t>
  </si>
  <si>
    <t>Revenues</t>
  </si>
  <si>
    <t>Subsidies received</t>
  </si>
  <si>
    <t>Net profit</t>
  </si>
  <si>
    <t>Current assets</t>
  </si>
  <si>
    <t>Total assets</t>
  </si>
  <si>
    <t>Current liabilities</t>
  </si>
  <si>
    <t>Short-term loans from banks incl. leasing obligations</t>
  </si>
  <si>
    <t>Long-term loans from banks incl leasing obligations</t>
  </si>
  <si>
    <t>Total equity</t>
  </si>
  <si>
    <t>Financial ratios</t>
  </si>
  <si>
    <t>Current ratio</t>
  </si>
  <si>
    <t>Loans to total assets</t>
  </si>
  <si>
    <t>Equity ratio</t>
  </si>
  <si>
    <t>ROA</t>
  </si>
  <si>
    <t>ROE</t>
  </si>
  <si>
    <t>Net profit margin</t>
  </si>
  <si>
    <r>
      <rPr>
        <i/>
        <sz val="10"/>
        <color theme="1"/>
        <rFont val="Arial"/>
        <family val="2"/>
        <charset val="186"/>
      </rPr>
      <t>Source:</t>
    </r>
    <r>
      <rPr>
        <sz val="10"/>
        <color theme="1"/>
        <rFont val="Arial"/>
        <family val="2"/>
        <charset val="186"/>
      </rPr>
      <t xml:space="preserve"> Väätsa Agro AS, OÜ Estonia, Aravete Agro OÜ, OÜ Põlva Agro and AS Tartu Agro annual report 2008; quota numbers  from http://www.epkk.ee/3120</t>
    </r>
  </si>
  <si>
    <t>APPENDIX 3. Väätsa Agro AS income statements</t>
  </si>
  <si>
    <t>2009 forecast</t>
  </si>
  <si>
    <t>Sales</t>
  </si>
  <si>
    <t>Subsidies</t>
  </si>
  <si>
    <t>Other revenue</t>
  </si>
  <si>
    <t>Total revenue</t>
  </si>
  <si>
    <t>Change in inventories</t>
  </si>
  <si>
    <t>Capitalised investments into fixed assets</t>
  </si>
  <si>
    <t>Goods and services</t>
  </si>
  <si>
    <t>Operating expenses</t>
  </si>
  <si>
    <t>Personnel expenses</t>
  </si>
  <si>
    <t>Depreciation</t>
  </si>
  <si>
    <t>Other operating expenses</t>
  </si>
  <si>
    <t>Total operating expenses</t>
  </si>
  <si>
    <t>Operating profit</t>
  </si>
  <si>
    <t>Interest expenses</t>
  </si>
  <si>
    <t>Other financial income</t>
  </si>
  <si>
    <t>Other financial expenses</t>
  </si>
  <si>
    <t>Profit before taxes</t>
  </si>
  <si>
    <t>Income tax</t>
  </si>
  <si>
    <r>
      <rPr>
        <i/>
        <sz val="10"/>
        <color theme="1"/>
        <rFont val="Arial"/>
        <family val="2"/>
        <charset val="186"/>
      </rPr>
      <t>Source:</t>
    </r>
    <r>
      <rPr>
        <sz val="10"/>
        <color theme="1"/>
        <rFont val="Arial"/>
        <family val="2"/>
        <charset val="186"/>
      </rPr>
      <t xml:space="preserve"> Väätsa Agro AS annual reports 2005-2009</t>
    </r>
  </si>
  <si>
    <t>APPENDIX 4. Väätsa Agro AS balance sheets</t>
  </si>
  <si>
    <t>CURRENT ASSETS</t>
  </si>
  <si>
    <t>Cash and bank accounts</t>
  </si>
  <si>
    <t>Accounts receivable</t>
  </si>
  <si>
    <t>Receivables from (former) parent company Urbanfors OÜ</t>
  </si>
  <si>
    <t>Other receivables</t>
  </si>
  <si>
    <t>Inventories</t>
  </si>
  <si>
    <t>Raw material</t>
  </si>
  <si>
    <t>Goods in process</t>
  </si>
  <si>
    <t>Finished goods</t>
  </si>
  <si>
    <t>Biological assets</t>
  </si>
  <si>
    <t>Goods for sale</t>
  </si>
  <si>
    <t>Total inventories</t>
  </si>
  <si>
    <t>TOTAL CURRENT ASSETS</t>
  </si>
  <si>
    <t>NON-CURRENT ASSETS</t>
  </si>
  <si>
    <t>Long term investments into securities</t>
  </si>
  <si>
    <t>Fixed assets</t>
  </si>
  <si>
    <t>Land and buildings</t>
  </si>
  <si>
    <t>Equipment and machinery</t>
  </si>
  <si>
    <t xml:space="preserve">          incl. leased equipment and machinery</t>
  </si>
  <si>
    <t>Other tangible fixed assets</t>
  </si>
  <si>
    <t xml:space="preserve">Biological assets </t>
  </si>
  <si>
    <t>Construction in progress</t>
  </si>
  <si>
    <t>Total fixed assets</t>
  </si>
  <si>
    <t>TOTAL NON-CURRENT ASSETS</t>
  </si>
  <si>
    <t>TOTAL ASSETS</t>
  </si>
  <si>
    <t>CURRENT LIABILITIES</t>
  </si>
  <si>
    <t>Short-term loans (overdraft)</t>
  </si>
  <si>
    <t>Current portion of long-term loans</t>
  </si>
  <si>
    <t xml:space="preserve">      incl. Swedbank AS</t>
  </si>
  <si>
    <t xml:space="preserve">      incl. financial lease</t>
  </si>
  <si>
    <t>Trade payables</t>
  </si>
  <si>
    <t>Taxes payable</t>
  </si>
  <si>
    <t>Payables to employees</t>
  </si>
  <si>
    <t>Other accrued expenses</t>
  </si>
  <si>
    <t>TOTAL CURRENT LIABILITIES</t>
  </si>
  <si>
    <t>NON-CURRENT LIABILITIES</t>
  </si>
  <si>
    <t>Long-term borrowings</t>
  </si>
  <si>
    <t xml:space="preserve">      incl. loan from Hanseatic Capital Estonia OÜ</t>
  </si>
  <si>
    <t>Prepaid expenses</t>
  </si>
  <si>
    <t>TOTAL NON-CURRENT LIABILITIES</t>
  </si>
  <si>
    <t>EQUITY</t>
  </si>
  <si>
    <t>Share capital</t>
  </si>
  <si>
    <t>Statutory legal reserve</t>
  </si>
  <si>
    <t>Retained earnings</t>
  </si>
  <si>
    <t>TOTAL EQUITY</t>
  </si>
  <si>
    <t>TOTAL LIABILITIES AND EQUITY</t>
  </si>
  <si>
    <t>APPENDIX 5. Väätsa Agro AS cash flow statements</t>
  </si>
  <si>
    <t>Cash flows from operating activities</t>
  </si>
  <si>
    <t>Profit before tax</t>
  </si>
  <si>
    <t>Adjustments:</t>
  </si>
  <si>
    <t>Profit/loss from sale of tangible fixed assets</t>
  </si>
  <si>
    <t>Income from target financing</t>
  </si>
  <si>
    <t>Other corrections</t>
  </si>
  <si>
    <t>Change in receivables and prepayments</t>
  </si>
  <si>
    <t>Change in biological assets</t>
  </si>
  <si>
    <t>Change in obligations and prepayments</t>
  </si>
  <si>
    <t>Total cash flows from operating activities</t>
  </si>
  <si>
    <t>Cash flows from investing activities</t>
  </si>
  <si>
    <t>Proceeds from sale of non-current assets</t>
  </si>
  <si>
    <t>Purchased non-current assets</t>
  </si>
  <si>
    <t>Investments into construction in progress</t>
  </si>
  <si>
    <t>Financial investments</t>
  </si>
  <si>
    <t>Change in loans granted</t>
  </si>
  <si>
    <t>Interest received</t>
  </si>
  <si>
    <t>Total cash flows from investing activities</t>
  </si>
  <si>
    <t>Cash flows from financing activities</t>
  </si>
  <si>
    <t>Loans received</t>
  </si>
  <si>
    <t>Loans repaid</t>
  </si>
  <si>
    <t>Repayment of leases</t>
  </si>
  <si>
    <t>Dividends paid</t>
  </si>
  <si>
    <t>Income tax paid</t>
  </si>
  <si>
    <t>Target financing received</t>
  </si>
  <si>
    <t>Interests paid</t>
  </si>
  <si>
    <t>Total cash flows from financing activities</t>
  </si>
  <si>
    <t>Total cash flows</t>
  </si>
  <si>
    <t>Profit/loss from biological assets</t>
  </si>
  <si>
    <r>
      <rPr>
        <b/>
        <sz val="10"/>
        <color theme="1"/>
        <rFont val="Arial"/>
        <family val="2"/>
        <charset val="186"/>
      </rPr>
      <t>Table 2.</t>
    </r>
    <r>
      <rPr>
        <sz val="10"/>
        <color theme="1"/>
        <rFont val="Arial"/>
        <family val="2"/>
        <charset val="186"/>
      </rPr>
      <t xml:space="preserve"> The biggest claimholders of Väätsa Agro AS as at 31 Aug 2009</t>
    </r>
  </si>
  <si>
    <r>
      <rPr>
        <b/>
        <sz val="11"/>
        <color theme="1"/>
        <rFont val="Calibri"/>
        <family val="2"/>
        <charset val="186"/>
        <scheme val="minor"/>
      </rPr>
      <t>Figure 5.</t>
    </r>
    <r>
      <rPr>
        <sz val="11"/>
        <color theme="1"/>
        <rFont val="Calibri"/>
        <family val="2"/>
        <charset val="186"/>
        <scheme val="minor"/>
      </rPr>
      <t xml:space="preserve"> Total milk production in Estonia 2004-2008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</si>
</sst>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Font="1"/>
    <xf numFmtId="164" fontId="0" fillId="0" borderId="1" xfId="0" applyNumberFormat="1" applyBorder="1"/>
    <xf numFmtId="2" fontId="0" fillId="0" borderId="0" xfId="0" applyNumberFormat="1"/>
    <xf numFmtId="0" fontId="3" fillId="0" borderId="1" xfId="0" applyFont="1" applyBorder="1"/>
    <xf numFmtId="0" fontId="4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 applyProtection="1">
      <alignment horizontal="right"/>
      <protection locked="0"/>
    </xf>
    <xf numFmtId="165" fontId="3" fillId="0" borderId="1" xfId="1" applyNumberFormat="1" applyFont="1" applyBorder="1"/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/>
    <xf numFmtId="0" fontId="3" fillId="0" borderId="0" xfId="0" applyFont="1" applyAlignment="1">
      <alignment wrapText="1"/>
    </xf>
    <xf numFmtId="166" fontId="3" fillId="0" borderId="0" xfId="0" applyNumberFormat="1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/>
    <xf numFmtId="3" fontId="3" fillId="0" borderId="0" xfId="0" applyNumberFormat="1" applyFont="1" applyBorder="1"/>
    <xf numFmtId="2" fontId="3" fillId="0" borderId="1" xfId="0" applyNumberFormat="1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/>
    <xf numFmtId="3" fontId="3" fillId="0" borderId="0" xfId="0" applyNumberFormat="1" applyFont="1"/>
    <xf numFmtId="3" fontId="3" fillId="0" borderId="5" xfId="0" applyNumberFormat="1" applyFont="1" applyBorder="1"/>
    <xf numFmtId="0" fontId="4" fillId="0" borderId="5" xfId="0" applyFont="1" applyBorder="1"/>
    <xf numFmtId="3" fontId="4" fillId="0" borderId="0" xfId="0" applyNumberFormat="1" applyFont="1"/>
    <xf numFmtId="3" fontId="4" fillId="0" borderId="5" xfId="0" applyNumberFormat="1" applyFont="1" applyBorder="1"/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14" fontId="4" fillId="2" borderId="4" xfId="0" applyNumberFormat="1" applyFont="1" applyFill="1" applyBorder="1"/>
    <xf numFmtId="14" fontId="4" fillId="2" borderId="3" xfId="0" applyNumberFormat="1" applyFont="1" applyFill="1" applyBorder="1"/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3" fontId="6" fillId="0" borderId="5" xfId="0" applyNumberFormat="1" applyFont="1" applyBorder="1"/>
    <xf numFmtId="3" fontId="6" fillId="0" borderId="0" xfId="0" applyNumberFormat="1" applyFont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2'!$A$2</c:f>
              <c:strCache>
                <c:ptCount val="1"/>
                <c:pt idx="0">
                  <c:v>Grain</c:v>
                </c:pt>
              </c:strCache>
            </c:strRef>
          </c:tx>
          <c:invertIfNegative val="0"/>
          <c:cat>
            <c:numRef>
              <c:f>'Figure 2'!$B$1:$H$1</c:f>
              <c:numCache>
                <c:formatCode>General</c:formatCode>
                <c:ptCount val="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</c:numCache>
            </c:numRef>
          </c:cat>
          <c:val>
            <c:numRef>
              <c:f>'Figure 2'!$B$2:$H$2</c:f>
              <c:numCache>
                <c:formatCode>#,##0</c:formatCode>
                <c:ptCount val="7"/>
                <c:pt idx="0">
                  <c:v>1164.7</c:v>
                </c:pt>
                <c:pt idx="1">
                  <c:v>1236.5999999999999</c:v>
                </c:pt>
                <c:pt idx="2">
                  <c:v>1252.8</c:v>
                </c:pt>
                <c:pt idx="3">
                  <c:v>893.4</c:v>
                </c:pt>
                <c:pt idx="4">
                  <c:v>1845.6</c:v>
                </c:pt>
                <c:pt idx="5">
                  <c:v>1677.2</c:v>
                </c:pt>
                <c:pt idx="6">
                  <c:v>1667</c:v>
                </c:pt>
              </c:numCache>
            </c:numRef>
          </c:val>
        </c:ser>
        <c:ser>
          <c:idx val="1"/>
          <c:order val="1"/>
          <c:tx>
            <c:strRef>
              <c:f>'Figure 2'!$A$3</c:f>
              <c:strCache>
                <c:ptCount val="1"/>
                <c:pt idx="0">
                  <c:v>Perennial hay</c:v>
                </c:pt>
              </c:strCache>
            </c:strRef>
          </c:tx>
          <c:invertIfNegative val="0"/>
          <c:cat>
            <c:numRef>
              <c:f>'Figure 2'!$B$1:$H$1</c:f>
              <c:numCache>
                <c:formatCode>General</c:formatCode>
                <c:ptCount val="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</c:numCache>
            </c:numRef>
          </c:cat>
          <c:val>
            <c:numRef>
              <c:f>'Figure 2'!$B$3:$H$3</c:f>
              <c:numCache>
                <c:formatCode>#,##0</c:formatCode>
                <c:ptCount val="7"/>
                <c:pt idx="0">
                  <c:v>3022.4</c:v>
                </c:pt>
                <c:pt idx="1">
                  <c:v>3117</c:v>
                </c:pt>
                <c:pt idx="2">
                  <c:v>2991.9</c:v>
                </c:pt>
                <c:pt idx="3">
                  <c:v>3813.9</c:v>
                </c:pt>
                <c:pt idx="4">
                  <c:v>2512.1999999999998</c:v>
                </c:pt>
                <c:pt idx="5">
                  <c:v>2635.2</c:v>
                </c:pt>
                <c:pt idx="6">
                  <c:v>2606</c:v>
                </c:pt>
              </c:numCache>
            </c:numRef>
          </c:val>
        </c:ser>
        <c:ser>
          <c:idx val="2"/>
          <c:order val="2"/>
          <c:tx>
            <c:strRef>
              <c:f>'Figure 2'!$A$4</c:f>
              <c:strCache>
                <c:ptCount val="1"/>
                <c:pt idx="0">
                  <c:v>Potatoes, rape etc.</c:v>
                </c:pt>
              </c:strCache>
            </c:strRef>
          </c:tx>
          <c:invertIfNegative val="0"/>
          <c:cat>
            <c:numRef>
              <c:f>'Figure 2'!$B$1:$H$1</c:f>
              <c:numCache>
                <c:formatCode>General</c:formatCode>
                <c:ptCount val="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</c:numCache>
            </c:numRef>
          </c:cat>
          <c:val>
            <c:numRef>
              <c:f>'Figure 2'!$B$4:$H$4</c:f>
              <c:numCache>
                <c:formatCode>#,##0</c:formatCode>
                <c:ptCount val="7"/>
                <c:pt idx="0">
                  <c:v>468.1</c:v>
                </c:pt>
                <c:pt idx="1">
                  <c:v>272.39999999999998</c:v>
                </c:pt>
                <c:pt idx="2">
                  <c:v>298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309496"/>
        <c:axId val="445309888"/>
      </c:barChart>
      <c:catAx>
        <c:axId val="44530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309888"/>
        <c:crosses val="autoZero"/>
        <c:auto val="1"/>
        <c:lblAlgn val="ctr"/>
        <c:lblOffset val="100"/>
        <c:noMultiLvlLbl val="0"/>
      </c:catAx>
      <c:valAx>
        <c:axId val="445309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t-EE"/>
                  <a:t>h</a:t>
                </a:r>
                <a:r>
                  <a:rPr lang="en-US"/>
                  <a:t>a</a:t>
                </a:r>
                <a:r>
                  <a:rPr lang="et-EE"/>
                  <a:t> of land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45309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'Figure 3'!$A$2</c:f>
              <c:strCache>
                <c:ptCount val="1"/>
                <c:pt idx="0">
                  <c:v>Cattle</c:v>
                </c:pt>
              </c:strCache>
            </c:strRef>
          </c:tx>
          <c:marker>
            <c:symbol val="none"/>
          </c:marker>
          <c:cat>
            <c:numRef>
              <c:f>'Figure 3'!$B$1:$H$1</c:f>
              <c:numCache>
                <c:formatCode>General</c:formatCode>
                <c:ptCount val="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</c:numCache>
            </c:numRef>
          </c:cat>
          <c:val>
            <c:numRef>
              <c:f>'Figure 3'!$B$2:$H$2</c:f>
              <c:numCache>
                <c:formatCode>#,##0</c:formatCode>
                <c:ptCount val="7"/>
                <c:pt idx="0">
                  <c:v>4004</c:v>
                </c:pt>
                <c:pt idx="1">
                  <c:v>3796</c:v>
                </c:pt>
                <c:pt idx="2">
                  <c:v>3664</c:v>
                </c:pt>
                <c:pt idx="3">
                  <c:v>3904</c:v>
                </c:pt>
                <c:pt idx="4">
                  <c:v>3889</c:v>
                </c:pt>
                <c:pt idx="5">
                  <c:v>3739</c:v>
                </c:pt>
                <c:pt idx="6">
                  <c:v>3692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3'!$A$3</c:f>
              <c:strCache>
                <c:ptCount val="1"/>
                <c:pt idx="0">
                  <c:v>incl. cows</c:v>
                </c:pt>
              </c:strCache>
            </c:strRef>
          </c:tx>
          <c:marker>
            <c:symbol val="none"/>
          </c:marker>
          <c:cat>
            <c:numRef>
              <c:f>'Figure 3'!$B$1:$H$1</c:f>
              <c:numCache>
                <c:formatCode>General</c:formatCode>
                <c:ptCount val="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</c:numCache>
            </c:numRef>
          </c:cat>
          <c:val>
            <c:numRef>
              <c:f>'Figure 3'!$B$3:$H$3</c:f>
              <c:numCache>
                <c:formatCode>#,##0</c:formatCode>
                <c:ptCount val="7"/>
                <c:pt idx="0">
                  <c:v>2030</c:v>
                </c:pt>
                <c:pt idx="1">
                  <c:v>2031</c:v>
                </c:pt>
                <c:pt idx="2">
                  <c:v>2013</c:v>
                </c:pt>
                <c:pt idx="3">
                  <c:v>2015</c:v>
                </c:pt>
                <c:pt idx="4">
                  <c:v>2112</c:v>
                </c:pt>
                <c:pt idx="5">
                  <c:v>1977</c:v>
                </c:pt>
                <c:pt idx="6">
                  <c:v>1977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3'!$A$4</c:f>
              <c:strCache>
                <c:ptCount val="1"/>
                <c:pt idx="0">
                  <c:v>Pigs</c:v>
                </c:pt>
              </c:strCache>
            </c:strRef>
          </c:tx>
          <c:marker>
            <c:symbol val="none"/>
          </c:marker>
          <c:cat>
            <c:numRef>
              <c:f>'Figure 3'!$B$1:$H$1</c:f>
              <c:numCache>
                <c:formatCode>General</c:formatCode>
                <c:ptCount val="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</c:numCache>
            </c:numRef>
          </c:cat>
          <c:val>
            <c:numRef>
              <c:f>'Figure 3'!$B$4:$H$4</c:f>
              <c:numCache>
                <c:formatCode>#,##0</c:formatCode>
                <c:ptCount val="7"/>
                <c:pt idx="0">
                  <c:v>4453</c:v>
                </c:pt>
                <c:pt idx="1">
                  <c:v>3691</c:v>
                </c:pt>
                <c:pt idx="2">
                  <c:v>2155</c:v>
                </c:pt>
                <c:pt idx="3">
                  <c:v>2594</c:v>
                </c:pt>
                <c:pt idx="4">
                  <c:v>1760</c:v>
                </c:pt>
                <c:pt idx="5">
                  <c:v>2099</c:v>
                </c:pt>
                <c:pt idx="6">
                  <c:v>1845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593056"/>
        <c:axId val="446593448"/>
      </c:lineChart>
      <c:catAx>
        <c:axId val="4465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6593448"/>
        <c:crosses val="autoZero"/>
        <c:auto val="1"/>
        <c:lblAlgn val="ctr"/>
        <c:lblOffset val="100"/>
        <c:noMultiLvlLbl val="0"/>
      </c:catAx>
      <c:valAx>
        <c:axId val="446593448"/>
        <c:scaling>
          <c:orientation val="minMax"/>
          <c:min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 of animals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46593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4'!$A$2</c:f>
              <c:strCache>
                <c:ptCount val="1"/>
                <c:pt idx="0">
                  <c:v>Total milk production (tons)</c:v>
                </c:pt>
              </c:strCache>
            </c:strRef>
          </c:tx>
          <c:marker>
            <c:symbol val="none"/>
          </c:marker>
          <c:cat>
            <c:numRef>
              <c:f>'Figure 4'!$B$1:$H$1</c:f>
              <c:numCache>
                <c:formatCode>General</c:formatCode>
                <c:ptCount val="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</c:numCache>
            </c:numRef>
          </c:cat>
          <c:val>
            <c:numRef>
              <c:f>'Figure 4'!$B$2:$H$2</c:f>
              <c:numCache>
                <c:formatCode>#,##0</c:formatCode>
                <c:ptCount val="7"/>
                <c:pt idx="0">
                  <c:v>14053</c:v>
                </c:pt>
                <c:pt idx="1">
                  <c:v>13857</c:v>
                </c:pt>
                <c:pt idx="2">
                  <c:v>14508</c:v>
                </c:pt>
                <c:pt idx="3">
                  <c:v>15004</c:v>
                </c:pt>
                <c:pt idx="4">
                  <c:v>16642</c:v>
                </c:pt>
                <c:pt idx="5">
                  <c:v>15643</c:v>
                </c:pt>
                <c:pt idx="6">
                  <c:v>15166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94624"/>
        <c:axId val="443107888"/>
      </c:lineChart>
      <c:lineChart>
        <c:grouping val="standard"/>
        <c:varyColors val="0"/>
        <c:ser>
          <c:idx val="1"/>
          <c:order val="1"/>
          <c:tx>
            <c:strRef>
              <c:f>'Figure 4'!$A$3</c:f>
              <c:strCache>
                <c:ptCount val="1"/>
                <c:pt idx="0">
                  <c:v>Milk per cow (kg)</c:v>
                </c:pt>
              </c:strCache>
            </c:strRef>
          </c:tx>
          <c:marker>
            <c:symbol val="none"/>
          </c:marker>
          <c:cat>
            <c:numRef>
              <c:f>'Figure 4'!$B$1:$H$1</c:f>
              <c:numCache>
                <c:formatCode>General</c:formatCode>
                <c:ptCount val="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</c:numCache>
            </c:numRef>
          </c:cat>
          <c:val>
            <c:numRef>
              <c:f>'Figure 4'!$B$3:$H$3</c:f>
              <c:numCache>
                <c:formatCode>#,##0</c:formatCode>
                <c:ptCount val="7"/>
                <c:pt idx="0">
                  <c:v>7000</c:v>
                </c:pt>
                <c:pt idx="1">
                  <c:v>6931</c:v>
                </c:pt>
                <c:pt idx="2">
                  <c:v>7169</c:v>
                </c:pt>
                <c:pt idx="3">
                  <c:v>7509</c:v>
                </c:pt>
                <c:pt idx="4">
                  <c:v>7899</c:v>
                </c:pt>
                <c:pt idx="5">
                  <c:v>7569</c:v>
                </c:pt>
                <c:pt idx="6">
                  <c:v>7582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08672"/>
        <c:axId val="443108280"/>
      </c:lineChart>
      <c:catAx>
        <c:axId val="44659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3107888"/>
        <c:crosses val="autoZero"/>
        <c:auto val="1"/>
        <c:lblAlgn val="ctr"/>
        <c:lblOffset val="100"/>
        <c:noMultiLvlLbl val="0"/>
      </c:catAx>
      <c:valAx>
        <c:axId val="443107888"/>
        <c:scaling>
          <c:orientation val="minMax"/>
          <c:min val="1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rgbClr val="0070C0"/>
            </a:solidFill>
          </a:ln>
        </c:spPr>
        <c:crossAx val="446594624"/>
        <c:crosses val="autoZero"/>
        <c:crossBetween val="between"/>
      </c:valAx>
      <c:valAx>
        <c:axId val="4431082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t-EE"/>
                  <a:t>kg per cow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rgbClr val="C00000"/>
            </a:solidFill>
          </a:ln>
        </c:spPr>
        <c:crossAx val="443108672"/>
        <c:crosses val="max"/>
        <c:crossBetween val="between"/>
      </c:valAx>
      <c:catAx>
        <c:axId val="44310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31082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5'!$A$2</c:f>
              <c:strCache>
                <c:ptCount val="1"/>
                <c:pt idx="0">
                  <c:v>Total milk production (tons)</c:v>
                </c:pt>
              </c:strCache>
            </c:strRef>
          </c:tx>
          <c:marker>
            <c:symbol val="none"/>
          </c:marker>
          <c:cat>
            <c:numRef>
              <c:f>'Figure 5'!$B$1:$F$1</c:f>
              <c:numCache>
                <c:formatCode>General</c:formatCode>
                <c:ptCount val="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</c:numCache>
            </c:numRef>
          </c:cat>
          <c:val>
            <c:numRef>
              <c:f>'Figure 5'!$B$2:$F$2</c:f>
              <c:numCache>
                <c:formatCode>#,##0</c:formatCode>
                <c:ptCount val="5"/>
                <c:pt idx="0">
                  <c:v>652400</c:v>
                </c:pt>
                <c:pt idx="1">
                  <c:v>670427</c:v>
                </c:pt>
                <c:pt idx="2">
                  <c:v>691966</c:v>
                </c:pt>
                <c:pt idx="3">
                  <c:v>692416</c:v>
                </c:pt>
                <c:pt idx="4">
                  <c:v>694203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85624"/>
        <c:axId val="444886016"/>
      </c:lineChart>
      <c:lineChart>
        <c:grouping val="standard"/>
        <c:varyColors val="0"/>
        <c:ser>
          <c:idx val="1"/>
          <c:order val="1"/>
          <c:tx>
            <c:strRef>
              <c:f>'Figure 5'!$A$3</c:f>
              <c:strCache>
                <c:ptCount val="1"/>
                <c:pt idx="0">
                  <c:v>Average milk per cow (kg)</c:v>
                </c:pt>
              </c:strCache>
            </c:strRef>
          </c:tx>
          <c:marker>
            <c:symbol val="none"/>
          </c:marker>
          <c:cat>
            <c:numRef>
              <c:f>'Figure 5'!$B$1:$F$1</c:f>
              <c:numCache>
                <c:formatCode>General</c:formatCode>
                <c:ptCount val="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</c:numCache>
            </c:numRef>
          </c:cat>
          <c:val>
            <c:numRef>
              <c:f>'Figure 5'!$B$3:$F$3</c:f>
              <c:numCache>
                <c:formatCode>#,##0</c:formatCode>
                <c:ptCount val="5"/>
                <c:pt idx="0">
                  <c:v>5528</c:v>
                </c:pt>
                <c:pt idx="1">
                  <c:v>5886</c:v>
                </c:pt>
                <c:pt idx="2">
                  <c:v>6285</c:v>
                </c:pt>
                <c:pt idx="3">
                  <c:v>6484</c:v>
                </c:pt>
                <c:pt idx="4">
                  <c:v>6781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86800"/>
        <c:axId val="444886408"/>
      </c:lineChart>
      <c:catAx>
        <c:axId val="44488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4886016"/>
        <c:crosses val="autoZero"/>
        <c:auto val="1"/>
        <c:lblAlgn val="ctr"/>
        <c:lblOffset val="100"/>
        <c:noMultiLvlLbl val="0"/>
      </c:catAx>
      <c:valAx>
        <c:axId val="444886016"/>
        <c:scaling>
          <c:orientation val="minMax"/>
          <c:min val="51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rgbClr val="0070C0"/>
            </a:solidFill>
          </a:ln>
        </c:spPr>
        <c:crossAx val="444885624"/>
        <c:crosses val="autoZero"/>
        <c:crossBetween val="between"/>
      </c:valAx>
      <c:valAx>
        <c:axId val="444886408"/>
        <c:scaling>
          <c:orientation val="minMax"/>
          <c:min val="5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t-EE"/>
                  <a:t>kg per cow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rgbClr val="C00000"/>
            </a:solidFill>
          </a:ln>
        </c:spPr>
        <c:crossAx val="444886800"/>
        <c:crosses val="max"/>
        <c:crossBetween val="between"/>
      </c:valAx>
      <c:catAx>
        <c:axId val="44488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8864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6'!$A$2</c:f>
              <c:strCache>
                <c:ptCount val="1"/>
                <c:pt idx="0">
                  <c:v>EU average</c:v>
                </c:pt>
              </c:strCache>
            </c:strRef>
          </c:tx>
          <c:marker>
            <c:symbol val="none"/>
          </c:marker>
          <c:cat>
            <c:strRef>
              <c:f>'Figure 6'!$B$1:$J$1</c:f>
              <c:strCach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August 2009</c:v>
                </c:pt>
              </c:strCache>
            </c:strRef>
          </c:cat>
          <c:val>
            <c:numRef>
              <c:f>'Figure 6'!$B$2:$J$2</c:f>
              <c:numCache>
                <c:formatCode>0.000</c:formatCode>
                <c:ptCount val="9"/>
                <c:pt idx="0">
                  <c:v>0.32669999999999999</c:v>
                </c:pt>
                <c:pt idx="1">
                  <c:v>0.30959999999999999</c:v>
                </c:pt>
                <c:pt idx="2">
                  <c:v>0.30099999999999999</c:v>
                </c:pt>
                <c:pt idx="3">
                  <c:v>0.29699999999999999</c:v>
                </c:pt>
                <c:pt idx="4">
                  <c:v>0.28920000000000001</c:v>
                </c:pt>
                <c:pt idx="5">
                  <c:v>0.28339999999999999</c:v>
                </c:pt>
                <c:pt idx="6">
                  <c:v>0.32520000000000004</c:v>
                </c:pt>
                <c:pt idx="7">
                  <c:v>0.34960000000000002</c:v>
                </c:pt>
                <c:pt idx="8">
                  <c:v>0.26269999999999999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6'!$A$3</c:f>
              <c:strCache>
                <c:ptCount val="1"/>
                <c:pt idx="0">
                  <c:v>USA Class III</c:v>
                </c:pt>
              </c:strCache>
            </c:strRef>
          </c:tx>
          <c:marker>
            <c:symbol val="none"/>
          </c:marker>
          <c:cat>
            <c:strRef>
              <c:f>'Figure 6'!$B$1:$J$1</c:f>
              <c:strCach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August 2009</c:v>
                </c:pt>
              </c:strCache>
            </c:strRef>
          </c:cat>
          <c:val>
            <c:numRef>
              <c:f>'Figure 6'!$B$3:$J$3</c:f>
              <c:numCache>
                <c:formatCode>0.000</c:formatCode>
                <c:ptCount val="9"/>
                <c:pt idx="0">
                  <c:v>0.36890000000000001</c:v>
                </c:pt>
                <c:pt idx="1">
                  <c:v>0.2772</c:v>
                </c:pt>
                <c:pt idx="2">
                  <c:v>0.25040000000000001</c:v>
                </c:pt>
                <c:pt idx="3">
                  <c:v>0.31329999999999997</c:v>
                </c:pt>
                <c:pt idx="4">
                  <c:v>0.28160000000000002</c:v>
                </c:pt>
                <c:pt idx="5">
                  <c:v>0.23469999999999999</c:v>
                </c:pt>
                <c:pt idx="6">
                  <c:v>0.32119999999999999</c:v>
                </c:pt>
                <c:pt idx="7">
                  <c:v>0.29370000000000002</c:v>
                </c:pt>
                <c:pt idx="8">
                  <c:v>0.19550000000000001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6'!$A$4</c:f>
              <c:strCache>
                <c:ptCount val="1"/>
                <c:pt idx="0">
                  <c:v>Estonia average</c:v>
                </c:pt>
              </c:strCache>
            </c:strRef>
          </c:tx>
          <c:marker>
            <c:symbol val="none"/>
          </c:marker>
          <c:cat>
            <c:strRef>
              <c:f>'Figure 6'!$B$1:$J$1</c:f>
              <c:strCach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August 2009</c:v>
                </c:pt>
              </c:strCache>
            </c:strRef>
          </c:cat>
          <c:val>
            <c:numRef>
              <c:f>'Figure 6'!$B$4:$J$4</c:f>
              <c:numCache>
                <c:formatCode>0.000</c:formatCode>
                <c:ptCount val="9"/>
                <c:pt idx="2">
                  <c:v>0.18419337</c:v>
                </c:pt>
                <c:pt idx="3">
                  <c:v>0.24529291</c:v>
                </c:pt>
                <c:pt idx="4">
                  <c:v>0.25404880000000002</c:v>
                </c:pt>
                <c:pt idx="5">
                  <c:v>0.24318381999999999</c:v>
                </c:pt>
                <c:pt idx="6">
                  <c:v>0.26855675000000001</c:v>
                </c:pt>
                <c:pt idx="7">
                  <c:v>0.29642223000000001</c:v>
                </c:pt>
                <c:pt idx="8">
                  <c:v>0.19397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6'!$A$5</c:f>
              <c:strCache>
                <c:ptCount val="1"/>
                <c:pt idx="0">
                  <c:v>Väätsa Agro AS average</c:v>
                </c:pt>
              </c:strCache>
            </c:strRef>
          </c:tx>
          <c:marker>
            <c:symbol val="none"/>
          </c:marker>
          <c:cat>
            <c:strRef>
              <c:f>'Figure 6'!$B$1:$J$1</c:f>
              <c:strCach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August 2009</c:v>
                </c:pt>
              </c:strCache>
            </c:strRef>
          </c:cat>
          <c:val>
            <c:numRef>
              <c:f>'Figure 6'!$B$5:$J$5</c:f>
              <c:numCache>
                <c:formatCode>0.000</c:formatCode>
                <c:ptCount val="9"/>
                <c:pt idx="0">
                  <c:v>0.18981759615507524</c:v>
                </c:pt>
                <c:pt idx="1">
                  <c:v>0.18342643130136901</c:v>
                </c:pt>
                <c:pt idx="2">
                  <c:v>0.21090844017230581</c:v>
                </c:pt>
                <c:pt idx="3">
                  <c:v>0.25564659414824947</c:v>
                </c:pt>
                <c:pt idx="4">
                  <c:v>0.26331599197269695</c:v>
                </c:pt>
                <c:pt idx="5">
                  <c:v>0.25053366226528445</c:v>
                </c:pt>
                <c:pt idx="6">
                  <c:v>0.27545920519473877</c:v>
                </c:pt>
                <c:pt idx="7">
                  <c:v>0.31124972837549375</c:v>
                </c:pt>
                <c:pt idx="8">
                  <c:v>0.21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623128"/>
        <c:axId val="441623520"/>
      </c:lineChart>
      <c:catAx>
        <c:axId val="441623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1623520"/>
        <c:crosses val="autoZero"/>
        <c:auto val="1"/>
        <c:lblAlgn val="ctr"/>
        <c:lblOffset val="100"/>
        <c:noMultiLvlLbl val="0"/>
      </c:catAx>
      <c:valAx>
        <c:axId val="441623520"/>
        <c:scaling>
          <c:orientation val="minMax"/>
          <c:min val="0.1500000000000000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EUR per kg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44162312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</xdr:colOff>
      <xdr:row>4</xdr:row>
      <xdr:rowOff>106686</xdr:rowOff>
    </xdr:from>
    <xdr:to>
      <xdr:col>5</xdr:col>
      <xdr:colOff>563880</xdr:colOff>
      <xdr:row>19</xdr:row>
      <xdr:rowOff>106686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</xdr:colOff>
      <xdr:row>4</xdr:row>
      <xdr:rowOff>121926</xdr:rowOff>
    </xdr:from>
    <xdr:to>
      <xdr:col>6</xdr:col>
      <xdr:colOff>510540</xdr:colOff>
      <xdr:row>19</xdr:row>
      <xdr:rowOff>121926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4</xdr:row>
      <xdr:rowOff>160020</xdr:rowOff>
    </xdr:from>
    <xdr:to>
      <xdr:col>8</xdr:col>
      <xdr:colOff>506730</xdr:colOff>
      <xdr:row>19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4</xdr:row>
      <xdr:rowOff>0</xdr:rowOff>
    </xdr:from>
    <xdr:to>
      <xdr:col>8</xdr:col>
      <xdr:colOff>180975</xdr:colOff>
      <xdr:row>18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106686</xdr:rowOff>
    </xdr:from>
    <xdr:to>
      <xdr:col>7</xdr:col>
      <xdr:colOff>594360</xdr:colOff>
      <xdr:row>23</xdr:row>
      <xdr:rowOff>68580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4" sqref="B4"/>
    </sheetView>
  </sheetViews>
  <sheetFormatPr defaultRowHeight="15" x14ac:dyDescent="0.25"/>
  <cols>
    <col min="1" max="1" width="44.85546875" bestFit="1" customWidth="1"/>
    <col min="2" max="2" width="10" customWidth="1"/>
  </cols>
  <sheetData>
    <row r="1" spans="1:8" x14ac:dyDescent="0.25">
      <c r="B1" s="1">
        <v>2002</v>
      </c>
      <c r="C1" s="1">
        <v>2003</v>
      </c>
      <c r="D1" s="1">
        <v>2004</v>
      </c>
      <c r="E1" s="1">
        <v>2005</v>
      </c>
      <c r="F1" s="1">
        <v>2006</v>
      </c>
      <c r="G1" s="1">
        <v>2007</v>
      </c>
      <c r="H1" s="1">
        <v>2008</v>
      </c>
    </row>
    <row r="2" spans="1:8" x14ac:dyDescent="0.25">
      <c r="A2" t="s">
        <v>0</v>
      </c>
      <c r="B2" s="2">
        <v>1164.7</v>
      </c>
      <c r="C2" s="2">
        <v>1236.5999999999999</v>
      </c>
      <c r="D2" s="2">
        <v>1252.8</v>
      </c>
      <c r="E2" s="2">
        <v>893.4</v>
      </c>
      <c r="F2" s="2">
        <v>1845.6</v>
      </c>
      <c r="G2" s="2">
        <v>1677.2</v>
      </c>
      <c r="H2" s="2">
        <v>1667</v>
      </c>
    </row>
    <row r="3" spans="1:8" x14ac:dyDescent="0.25">
      <c r="A3" t="s">
        <v>1</v>
      </c>
      <c r="B3" s="2">
        <v>3022.4</v>
      </c>
      <c r="C3" s="2">
        <v>3117</v>
      </c>
      <c r="D3" s="2">
        <v>2991.9</v>
      </c>
      <c r="E3" s="2">
        <v>3813.9</v>
      </c>
      <c r="F3" s="2">
        <v>2512.1999999999998</v>
      </c>
      <c r="G3" s="2">
        <v>2635.2</v>
      </c>
      <c r="H3" s="2">
        <v>2606</v>
      </c>
    </row>
    <row r="4" spans="1:8" x14ac:dyDescent="0.25">
      <c r="A4" t="s">
        <v>2</v>
      </c>
      <c r="B4" s="2">
        <v>468.1</v>
      </c>
      <c r="C4" s="2">
        <v>272.39999999999998</v>
      </c>
      <c r="D4" s="2">
        <v>298</v>
      </c>
      <c r="E4" s="2">
        <v>0</v>
      </c>
      <c r="F4" s="2">
        <v>0</v>
      </c>
      <c r="G4" s="2">
        <v>0</v>
      </c>
      <c r="H4" s="2">
        <v>0</v>
      </c>
    </row>
    <row r="21" spans="1:1" x14ac:dyDescent="0.25">
      <c r="A21" s="3" t="s">
        <v>3</v>
      </c>
    </row>
    <row r="22" spans="1:1" x14ac:dyDescent="0.25">
      <c r="A22" s="4" t="s">
        <v>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10" sqref="A10"/>
    </sheetView>
  </sheetViews>
  <sheetFormatPr defaultColWidth="8.85546875" defaultRowHeight="12.75" x14ac:dyDescent="0.2"/>
  <cols>
    <col min="1" max="1" width="39.7109375" style="3" bestFit="1" customWidth="1"/>
    <col min="2" max="4" width="8.85546875" style="3"/>
    <col min="5" max="5" width="9.140625" style="3" customWidth="1"/>
    <col min="6" max="6" width="12.28515625" style="3" bestFit="1" customWidth="1"/>
    <col min="7" max="16384" width="8.85546875" style="3"/>
  </cols>
  <sheetData>
    <row r="1" spans="1:6" x14ac:dyDescent="0.2">
      <c r="A1" s="15" t="s">
        <v>78</v>
      </c>
    </row>
    <row r="2" spans="1:6" x14ac:dyDescent="0.2">
      <c r="A2" s="29" t="s">
        <v>29</v>
      </c>
      <c r="B2" s="30">
        <v>2005</v>
      </c>
      <c r="C2" s="31">
        <v>2006</v>
      </c>
      <c r="D2" s="30">
        <v>2007</v>
      </c>
      <c r="E2" s="31">
        <v>2008</v>
      </c>
      <c r="F2" s="31" t="s">
        <v>79</v>
      </c>
    </row>
    <row r="3" spans="1:6" x14ac:dyDescent="0.2">
      <c r="A3" s="32" t="s">
        <v>80</v>
      </c>
      <c r="B3" s="33">
        <v>4749.3528945585631</v>
      </c>
      <c r="C3" s="34">
        <v>5498.9163140874052</v>
      </c>
      <c r="D3" s="33">
        <v>5159.4595630999711</v>
      </c>
      <c r="E3" s="34">
        <v>5911.6357547326579</v>
      </c>
      <c r="F3" s="34">
        <v>3400</v>
      </c>
    </row>
    <row r="4" spans="1:6" x14ac:dyDescent="0.2">
      <c r="A4" s="32" t="s">
        <v>81</v>
      </c>
      <c r="B4" s="33">
        <v>626.39218744008281</v>
      </c>
      <c r="C4" s="34">
        <v>839.94816765303653</v>
      </c>
      <c r="D4" s="33">
        <v>1025.9097823169252</v>
      </c>
      <c r="E4" s="34">
        <v>1135.390436260913</v>
      </c>
      <c r="F4" s="34">
        <v>900</v>
      </c>
    </row>
    <row r="5" spans="1:6" x14ac:dyDescent="0.2">
      <c r="A5" s="32" t="s">
        <v>82</v>
      </c>
      <c r="B5" s="33">
        <v>48.646543018930636</v>
      </c>
      <c r="C5" s="34">
        <v>66.698963353060734</v>
      </c>
      <c r="D5" s="33">
        <v>114.21011593573046</v>
      </c>
      <c r="E5" s="34">
        <v>157.47830199532169</v>
      </c>
      <c r="F5" s="34">
        <v>0</v>
      </c>
    </row>
    <row r="6" spans="1:6" x14ac:dyDescent="0.2">
      <c r="A6" s="35" t="s">
        <v>83</v>
      </c>
      <c r="B6" s="36">
        <f>SUM(B3:B5)</f>
        <v>5424.3916250175771</v>
      </c>
      <c r="C6" s="37">
        <f>SUM(C3:C5)</f>
        <v>6405.5634450935031</v>
      </c>
      <c r="D6" s="36">
        <f>SUM(D3:D5)</f>
        <v>6299.5794613526268</v>
      </c>
      <c r="E6" s="37">
        <f>SUM(E3:E5)</f>
        <v>7204.5044929888927</v>
      </c>
      <c r="F6" s="37">
        <f>SUM(F3:F5)</f>
        <v>4300</v>
      </c>
    </row>
    <row r="7" spans="1:6" x14ac:dyDescent="0.2">
      <c r="A7" s="35"/>
      <c r="C7" s="32"/>
      <c r="E7" s="32"/>
      <c r="F7" s="32"/>
    </row>
    <row r="8" spans="1:6" x14ac:dyDescent="0.2">
      <c r="A8" s="32" t="s">
        <v>84</v>
      </c>
      <c r="B8" s="33">
        <v>221.83969680313933</v>
      </c>
      <c r="C8" s="34">
        <v>-247.50067107230964</v>
      </c>
      <c r="D8" s="33">
        <v>544.3355105901602</v>
      </c>
      <c r="E8" s="34">
        <v>298.0200171283218</v>
      </c>
      <c r="F8" s="34">
        <v>-500</v>
      </c>
    </row>
    <row r="9" spans="1:6" x14ac:dyDescent="0.2">
      <c r="A9" s="32" t="s">
        <v>175</v>
      </c>
      <c r="B9" s="33">
        <v>565.21761916326875</v>
      </c>
      <c r="C9" s="34">
        <v>232.52879219766595</v>
      </c>
      <c r="D9" s="33">
        <v>729.10408651080752</v>
      </c>
      <c r="E9" s="34">
        <v>-271.81624122812627</v>
      </c>
      <c r="F9" s="34">
        <v>-300</v>
      </c>
    </row>
    <row r="10" spans="1:6" x14ac:dyDescent="0.2">
      <c r="A10" s="32" t="s">
        <v>85</v>
      </c>
      <c r="B10" s="33">
        <v>1145.4045607352398</v>
      </c>
      <c r="C10" s="34">
        <v>143.53731801158079</v>
      </c>
      <c r="D10" s="33">
        <v>221.1343039382358</v>
      </c>
      <c r="E10" s="34">
        <v>79.889560671327956</v>
      </c>
      <c r="F10" s="34">
        <v>0</v>
      </c>
    </row>
    <row r="11" spans="1:6" x14ac:dyDescent="0.2">
      <c r="A11" s="35"/>
      <c r="C11" s="32"/>
      <c r="E11" s="32"/>
      <c r="F11" s="32"/>
    </row>
    <row r="12" spans="1:6" x14ac:dyDescent="0.2">
      <c r="A12" s="32" t="s">
        <v>86</v>
      </c>
      <c r="B12" s="33">
        <v>-3913.5984814592312</v>
      </c>
      <c r="C12" s="34">
        <v>-3358.9838686999096</v>
      </c>
      <c r="D12" s="33">
        <v>-3694.6684902790385</v>
      </c>
      <c r="E12" s="34">
        <v>-4398.2079173750208</v>
      </c>
      <c r="F12" s="34">
        <v>-2200</v>
      </c>
    </row>
    <row r="13" spans="1:6" x14ac:dyDescent="0.2">
      <c r="A13" s="32" t="s">
        <v>87</v>
      </c>
      <c r="B13" s="33">
        <v>-148.25201641251135</v>
      </c>
      <c r="C13" s="34">
        <v>-175.21525443227284</v>
      </c>
      <c r="D13" s="33">
        <v>-340.96864494522771</v>
      </c>
      <c r="E13" s="34">
        <v>-272.19971111934865</v>
      </c>
      <c r="F13" s="34">
        <v>-200</v>
      </c>
    </row>
    <row r="14" spans="1:6" x14ac:dyDescent="0.2">
      <c r="A14" s="32" t="s">
        <v>88</v>
      </c>
      <c r="B14" s="33">
        <v>-1608.140107115923</v>
      </c>
      <c r="C14" s="34">
        <v>-1607.6621758081628</v>
      </c>
      <c r="D14" s="33">
        <v>-1674.4212800224971</v>
      </c>
      <c r="E14" s="34">
        <v>-1976.9151125484132</v>
      </c>
      <c r="F14" s="34">
        <v>-1700</v>
      </c>
    </row>
    <row r="15" spans="1:6" x14ac:dyDescent="0.2">
      <c r="A15" s="32" t="s">
        <v>89</v>
      </c>
      <c r="B15" s="33">
        <v>-486.17143660603585</v>
      </c>
      <c r="C15" s="34">
        <v>-644.5963979394885</v>
      </c>
      <c r="D15" s="33">
        <v>-845.03981695703862</v>
      </c>
      <c r="E15" s="34">
        <v>-935.09132974575948</v>
      </c>
      <c r="F15" s="34">
        <v>-800</v>
      </c>
    </row>
    <row r="16" spans="1:6" x14ac:dyDescent="0.2">
      <c r="A16" s="32" t="s">
        <v>90</v>
      </c>
      <c r="B16" s="33">
        <v>-22.124678843966102</v>
      </c>
      <c r="C16" s="34">
        <v>-16.08956578425984</v>
      </c>
      <c r="D16" s="33">
        <v>-20.899109071619396</v>
      </c>
      <c r="E16" s="34">
        <v>-40.008691984201043</v>
      </c>
      <c r="F16" s="34">
        <v>0</v>
      </c>
    </row>
    <row r="17" spans="1:6" x14ac:dyDescent="0.2">
      <c r="A17" s="35" t="s">
        <v>91</v>
      </c>
      <c r="B17" s="36">
        <f>SUM(B12:B16)</f>
        <v>-6178.2867204376671</v>
      </c>
      <c r="C17" s="37">
        <f>SUM(C12:C16)</f>
        <v>-5802.547262664094</v>
      </c>
      <c r="D17" s="36">
        <f>SUM(D12:D16)</f>
        <v>-6575.9973412754216</v>
      </c>
      <c r="E17" s="37">
        <f>SUM(E12:E16)</f>
        <v>-7622.4227627727423</v>
      </c>
      <c r="F17" s="37">
        <f>SUM(F12:F16)</f>
        <v>-4900</v>
      </c>
    </row>
    <row r="18" spans="1:6" x14ac:dyDescent="0.2">
      <c r="A18" s="35"/>
      <c r="C18" s="32"/>
      <c r="E18" s="32"/>
      <c r="F18" s="32"/>
    </row>
    <row r="19" spans="1:6" x14ac:dyDescent="0.2">
      <c r="A19" s="35" t="s">
        <v>92</v>
      </c>
      <c r="B19" s="36">
        <f>B6+SUM(B8:B10,B17)</f>
        <v>1178.5667812815573</v>
      </c>
      <c r="C19" s="37">
        <f>C6+SUM(C8:C10,C17)</f>
        <v>731.58162156634626</v>
      </c>
      <c r="D19" s="36">
        <f>D6+SUM(D8:D10,D17)</f>
        <v>1218.1560211164087</v>
      </c>
      <c r="E19" s="37">
        <f>E6+SUM(E8:E10,E17)</f>
        <v>-311.82493321232596</v>
      </c>
      <c r="F19" s="37">
        <f>F6+SUM(F8:F10,F17)</f>
        <v>-1400</v>
      </c>
    </row>
    <row r="20" spans="1:6" x14ac:dyDescent="0.2">
      <c r="A20" s="35"/>
      <c r="C20" s="32"/>
      <c r="E20" s="32"/>
      <c r="F20" s="32"/>
    </row>
    <row r="21" spans="1:6" x14ac:dyDescent="0.2">
      <c r="A21" s="32" t="s">
        <v>93</v>
      </c>
      <c r="B21" s="33">
        <v>-115.29546355118684</v>
      </c>
      <c r="C21" s="34">
        <v>-152.11477253844288</v>
      </c>
      <c r="D21" s="33">
        <v>-477.29219127478177</v>
      </c>
      <c r="E21" s="34">
        <v>-849.32189740902174</v>
      </c>
      <c r="F21" s="34">
        <v>-500</v>
      </c>
    </row>
    <row r="22" spans="1:6" x14ac:dyDescent="0.2">
      <c r="A22" s="32" t="s">
        <v>94</v>
      </c>
      <c r="B22" s="33">
        <v>1.2192425191415388</v>
      </c>
      <c r="C22" s="34">
        <v>4.9427351629107923</v>
      </c>
      <c r="D22" s="33">
        <v>304.28335868495395</v>
      </c>
      <c r="E22" s="34">
        <v>609.01409890966727</v>
      </c>
      <c r="F22" s="34">
        <v>500</v>
      </c>
    </row>
    <row r="23" spans="1:6" x14ac:dyDescent="0.2">
      <c r="A23" s="32" t="s">
        <v>95</v>
      </c>
      <c r="B23" s="33">
        <v>-0.67765520943847224</v>
      </c>
      <c r="C23" s="34">
        <v>0</v>
      </c>
      <c r="D23" s="33">
        <v>-1.0225863765929979</v>
      </c>
      <c r="E23" s="34">
        <v>-22.816458527731264</v>
      </c>
      <c r="F23" s="34">
        <v>-200</v>
      </c>
    </row>
    <row r="24" spans="1:6" x14ac:dyDescent="0.2">
      <c r="A24" s="35"/>
      <c r="C24" s="32"/>
      <c r="E24" s="32"/>
      <c r="F24" s="32"/>
    </row>
    <row r="25" spans="1:6" x14ac:dyDescent="0.2">
      <c r="A25" s="35" t="s">
        <v>96</v>
      </c>
      <c r="B25" s="36">
        <f>B19+SUM(B21:B23)</f>
        <v>1063.8129050400735</v>
      </c>
      <c r="C25" s="37">
        <f>C19+SUM(C21:C23)</f>
        <v>584.40958419081414</v>
      </c>
      <c r="D25" s="36">
        <f>D19+SUM(D21:D23)</f>
        <v>1044.1246021499878</v>
      </c>
      <c r="E25" s="37">
        <f>E19+SUM(E21:E23)</f>
        <v>-574.94919023941168</v>
      </c>
      <c r="F25" s="37">
        <f>F19+SUM(F21:F23)</f>
        <v>-1600</v>
      </c>
    </row>
    <row r="26" spans="1:6" x14ac:dyDescent="0.2">
      <c r="A26" s="32" t="s">
        <v>97</v>
      </c>
      <c r="B26" s="33">
        <v>-15.286643743688725</v>
      </c>
      <c r="C26" s="34">
        <v>-28.916314087405571</v>
      </c>
      <c r="D26" s="33">
        <v>0</v>
      </c>
      <c r="E26" s="34">
        <v>0</v>
      </c>
      <c r="F26" s="34">
        <v>0</v>
      </c>
    </row>
    <row r="27" spans="1:6" x14ac:dyDescent="0.2">
      <c r="A27" s="35" t="s">
        <v>63</v>
      </c>
      <c r="B27" s="36">
        <f>B25+B26</f>
        <v>1048.5262612963847</v>
      </c>
      <c r="C27" s="37">
        <f>C25+C26</f>
        <v>555.49327010340858</v>
      </c>
      <c r="D27" s="36">
        <f>D25+D26</f>
        <v>1044.1246021499878</v>
      </c>
      <c r="E27" s="37">
        <f>E25+E26</f>
        <v>-574.94919023941168</v>
      </c>
      <c r="F27" s="37">
        <f>F25+F26</f>
        <v>-1600</v>
      </c>
    </row>
    <row r="28" spans="1:6" x14ac:dyDescent="0.2">
      <c r="A28" s="32"/>
      <c r="C28" s="32"/>
      <c r="E28" s="34"/>
      <c r="F28" s="34"/>
    </row>
    <row r="29" spans="1:6" x14ac:dyDescent="0.2">
      <c r="A29" s="3" t="s">
        <v>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5"/>
  <sheetViews>
    <sheetView workbookViewId="0">
      <selection activeCell="A50" sqref="A50"/>
    </sheetView>
  </sheetViews>
  <sheetFormatPr defaultColWidth="8.85546875" defaultRowHeight="12.75" x14ac:dyDescent="0.2"/>
  <cols>
    <col min="1" max="1" width="42.5703125" style="23" customWidth="1"/>
    <col min="2" max="5" width="11" style="3" bestFit="1" customWidth="1"/>
    <col min="6" max="16384" width="8.85546875" style="3"/>
  </cols>
  <sheetData>
    <row r="1" spans="1:5" x14ac:dyDescent="0.2">
      <c r="A1" s="38" t="s">
        <v>99</v>
      </c>
    </row>
    <row r="2" spans="1:5" x14ac:dyDescent="0.2">
      <c r="A2" s="39" t="s">
        <v>29</v>
      </c>
      <c r="B2" s="40">
        <v>38717</v>
      </c>
      <c r="C2" s="41">
        <v>39082</v>
      </c>
      <c r="D2" s="40">
        <v>39447</v>
      </c>
      <c r="E2" s="40">
        <v>39813</v>
      </c>
    </row>
    <row r="3" spans="1:5" x14ac:dyDescent="0.2">
      <c r="A3" s="42" t="s">
        <v>100</v>
      </c>
      <c r="B3" s="34"/>
      <c r="C3" s="33"/>
      <c r="D3" s="34"/>
      <c r="E3" s="34"/>
    </row>
    <row r="4" spans="1:5" x14ac:dyDescent="0.2">
      <c r="A4" s="43" t="s">
        <v>101</v>
      </c>
      <c r="B4" s="34">
        <v>51.124589367658153</v>
      </c>
      <c r="C4" s="33">
        <v>20.228164585277312</v>
      </c>
      <c r="D4" s="34">
        <v>9.1393657407999189</v>
      </c>
      <c r="E4" s="34">
        <v>22.241253690897704</v>
      </c>
    </row>
    <row r="5" spans="1:5" x14ac:dyDescent="0.2">
      <c r="A5" s="43" t="s">
        <v>102</v>
      </c>
      <c r="B5" s="34">
        <v>535.12239080694849</v>
      </c>
      <c r="C5" s="33">
        <v>487.83505681745555</v>
      </c>
      <c r="D5" s="34">
        <v>605.4989582401289</v>
      </c>
      <c r="E5" s="34">
        <v>321.66732708703489</v>
      </c>
    </row>
    <row r="6" spans="1:5" ht="25.5" x14ac:dyDescent="0.2">
      <c r="A6" s="43" t="s">
        <v>103</v>
      </c>
      <c r="B6" s="34">
        <v>0</v>
      </c>
      <c r="C6" s="33">
        <v>290.2867076553373</v>
      </c>
      <c r="D6" s="34">
        <v>6288.5866578042514</v>
      </c>
      <c r="E6" s="34">
        <v>6995.3216673270872</v>
      </c>
    </row>
    <row r="7" spans="1:5" x14ac:dyDescent="0.2">
      <c r="A7" s="43" t="s">
        <v>104</v>
      </c>
      <c r="B7" s="34">
        <v>233.81520585941996</v>
      </c>
      <c r="C7" s="33">
        <v>195.75818388659516</v>
      </c>
      <c r="D7" s="34">
        <v>221.70950877506937</v>
      </c>
      <c r="E7" s="34">
        <v>183.55425459844312</v>
      </c>
    </row>
    <row r="8" spans="1:5" x14ac:dyDescent="0.2">
      <c r="A8" s="42" t="s">
        <v>105</v>
      </c>
      <c r="B8" s="34"/>
      <c r="C8" s="33"/>
      <c r="D8" s="34"/>
      <c r="E8" s="34"/>
    </row>
    <row r="9" spans="1:5" x14ac:dyDescent="0.2">
      <c r="A9" s="43" t="s">
        <v>106</v>
      </c>
      <c r="B9" s="34">
        <v>475.46297598200249</v>
      </c>
      <c r="C9" s="33">
        <v>424.49375583193796</v>
      </c>
      <c r="D9" s="34">
        <v>635.0900515127887</v>
      </c>
      <c r="E9" s="34">
        <v>355.47658916314089</v>
      </c>
    </row>
    <row r="10" spans="1:5" x14ac:dyDescent="0.2">
      <c r="A10" s="43" t="s">
        <v>107</v>
      </c>
      <c r="B10" s="34">
        <v>119.32221696726447</v>
      </c>
      <c r="C10" s="33">
        <v>117.40569836258356</v>
      </c>
      <c r="D10" s="34">
        <v>140.22215689031484</v>
      </c>
      <c r="E10" s="34">
        <v>186.87766032237036</v>
      </c>
    </row>
    <row r="11" spans="1:5" x14ac:dyDescent="0.2">
      <c r="A11" s="43" t="s">
        <v>108</v>
      </c>
      <c r="B11" s="34">
        <v>398.32276660744191</v>
      </c>
      <c r="C11" s="33">
        <v>412.13618294070278</v>
      </c>
      <c r="D11" s="34">
        <v>978.99863229072139</v>
      </c>
      <c r="E11" s="34">
        <v>1218.0281978193345</v>
      </c>
    </row>
    <row r="12" spans="1:5" x14ac:dyDescent="0.2">
      <c r="A12" s="44" t="s">
        <v>109</v>
      </c>
      <c r="B12" s="34">
        <v>612.0904222003503</v>
      </c>
      <c r="C12" s="33">
        <v>405.27903825751281</v>
      </c>
      <c r="D12" s="34">
        <v>535.45179144350857</v>
      </c>
      <c r="E12" s="34">
        <v>450.83276878043796</v>
      </c>
    </row>
    <row r="13" spans="1:5" x14ac:dyDescent="0.2">
      <c r="A13" s="43" t="s">
        <v>110</v>
      </c>
      <c r="B13" s="34">
        <v>3.2639039791392381</v>
      </c>
      <c r="C13" s="33">
        <v>2.7482008870936818</v>
      </c>
      <c r="D13" s="34">
        <v>1.9812611046489335</v>
      </c>
      <c r="E13" s="34">
        <v>2.4925542929454325</v>
      </c>
    </row>
    <row r="14" spans="1:5" x14ac:dyDescent="0.2">
      <c r="A14" s="42" t="s">
        <v>111</v>
      </c>
      <c r="B14" s="37">
        <f>SUM(B9:B13)</f>
        <v>1608.4622857361985</v>
      </c>
      <c r="C14" s="36">
        <f>SUM(C9:C13)</f>
        <v>1362.0628762798308</v>
      </c>
      <c r="D14" s="37">
        <f>SUM(D9:D13)</f>
        <v>2291.7438932419827</v>
      </c>
      <c r="E14" s="37">
        <f>SUM(E9:E13)</f>
        <v>2213.7077703782293</v>
      </c>
    </row>
    <row r="15" spans="1:5" x14ac:dyDescent="0.2">
      <c r="A15" s="42" t="s">
        <v>112</v>
      </c>
      <c r="B15" s="37">
        <f>B14+SUM(B4:B7)</f>
        <v>2428.5244717702253</v>
      </c>
      <c r="C15" s="36">
        <f>C14+SUM(C4:C7)</f>
        <v>2356.1709892244962</v>
      </c>
      <c r="D15" s="37">
        <f>D14+SUM(D4:D7)</f>
        <v>9416.6783838022329</v>
      </c>
      <c r="E15" s="37">
        <f>E14+SUM(E4:E7)</f>
        <v>9736.4922730816925</v>
      </c>
    </row>
    <row r="16" spans="1:5" x14ac:dyDescent="0.2">
      <c r="A16" s="42" t="s">
        <v>113</v>
      </c>
      <c r="B16" s="34"/>
      <c r="C16" s="33"/>
      <c r="D16" s="34"/>
      <c r="E16" s="34"/>
    </row>
    <row r="17" spans="1:7" x14ac:dyDescent="0.2">
      <c r="A17" s="43" t="s">
        <v>114</v>
      </c>
      <c r="B17" s="34">
        <v>4.8685337389592629</v>
      </c>
      <c r="C17" s="33">
        <v>4.8685337389592629</v>
      </c>
      <c r="D17" s="34">
        <v>3.1955824268531186</v>
      </c>
      <c r="E17" s="34">
        <v>3.1955824268531186</v>
      </c>
    </row>
    <row r="18" spans="1:7" x14ac:dyDescent="0.2">
      <c r="A18" s="42" t="s">
        <v>115</v>
      </c>
      <c r="B18" s="34"/>
      <c r="C18" s="33"/>
      <c r="D18" s="34"/>
      <c r="E18" s="34"/>
    </row>
    <row r="19" spans="1:7" x14ac:dyDescent="0.2">
      <c r="A19" s="43" t="s">
        <v>116</v>
      </c>
      <c r="B19" s="34">
        <v>4914.7828282182718</v>
      </c>
      <c r="C19" s="33">
        <v>5071.5984303299119</v>
      </c>
      <c r="D19" s="34">
        <v>5525.6093975688009</v>
      </c>
      <c r="E19" s="34">
        <v>5627.4206536883412</v>
      </c>
    </row>
    <row r="20" spans="1:7" x14ac:dyDescent="0.2">
      <c r="A20" s="43" t="s">
        <v>117</v>
      </c>
      <c r="B20" s="34">
        <v>3830.3678115373309</v>
      </c>
      <c r="C20" s="33">
        <v>3950.7582477982442</v>
      </c>
      <c r="D20" s="34">
        <v>4381.5908887553851</v>
      </c>
      <c r="E20" s="34">
        <v>4875.1805504071172</v>
      </c>
    </row>
    <row r="21" spans="1:7" s="48" customFormat="1" x14ac:dyDescent="0.2">
      <c r="A21" s="45" t="s">
        <v>118</v>
      </c>
      <c r="B21" s="46">
        <v>803.36942211087398</v>
      </c>
      <c r="C21" s="47">
        <v>890.60882236396412</v>
      </c>
      <c r="D21" s="46">
        <v>999.83382971380365</v>
      </c>
      <c r="E21" s="46">
        <v>1426.6997302928432</v>
      </c>
    </row>
    <row r="22" spans="1:7" x14ac:dyDescent="0.2">
      <c r="A22" s="43" t="s">
        <v>119</v>
      </c>
      <c r="B22" s="34">
        <v>28.05133383610497</v>
      </c>
      <c r="C22" s="33">
        <v>33.506576508634467</v>
      </c>
      <c r="D22" s="34">
        <v>36.365728017588488</v>
      </c>
      <c r="E22" s="34">
        <v>38.986105607608046</v>
      </c>
    </row>
    <row r="23" spans="1:7" x14ac:dyDescent="0.2">
      <c r="A23" s="44" t="s">
        <v>120</v>
      </c>
      <c r="B23" s="34">
        <v>2307.3042705763551</v>
      </c>
      <c r="C23" s="33">
        <v>3053.8228752572445</v>
      </c>
      <c r="D23" s="34">
        <v>3948.589469916787</v>
      </c>
      <c r="E23" s="34">
        <v>4033.7836974166912</v>
      </c>
    </row>
    <row r="24" spans="1:7" x14ac:dyDescent="0.2">
      <c r="A24" s="43" t="s">
        <v>89</v>
      </c>
      <c r="B24" s="34">
        <v>-3548.9544693415824</v>
      </c>
      <c r="C24" s="33">
        <v>-3927.7313282118803</v>
      </c>
      <c r="D24" s="34">
        <v>-4253.7675916812595</v>
      </c>
      <c r="E24" s="34">
        <v>-5167.2567842214921</v>
      </c>
    </row>
    <row r="25" spans="1:7" x14ac:dyDescent="0.2">
      <c r="A25" s="43" t="s">
        <v>121</v>
      </c>
      <c r="B25" s="34">
        <v>28.192642491020415</v>
      </c>
      <c r="C25" s="33">
        <v>1.8534378075748086</v>
      </c>
      <c r="D25" s="34">
        <v>38.922193959070981</v>
      </c>
      <c r="E25" s="34">
        <v>22.305165339434765</v>
      </c>
    </row>
    <row r="26" spans="1:7" x14ac:dyDescent="0.2">
      <c r="A26" s="42" t="s">
        <v>122</v>
      </c>
      <c r="B26" s="37">
        <f>SUM(B22:B25,B20,B19)</f>
        <v>7559.7444173175008</v>
      </c>
      <c r="C26" s="36">
        <f>SUM(C22:C25,C20,C19)</f>
        <v>8183.8082394897301</v>
      </c>
      <c r="D26" s="37">
        <f>SUM(D22:D25,D20,D19)</f>
        <v>9677.310086536374</v>
      </c>
      <c r="E26" s="37">
        <f>SUM(E22:E25,E20,E19)</f>
        <v>9430.4193882377003</v>
      </c>
      <c r="G26" s="33"/>
    </row>
    <row r="27" spans="1:7" x14ac:dyDescent="0.2">
      <c r="A27" s="42" t="s">
        <v>123</v>
      </c>
      <c r="B27" s="37">
        <f>B26+B17</f>
        <v>7564.6129510564597</v>
      </c>
      <c r="C27" s="36">
        <f>C26+C17</f>
        <v>8188.6767732286889</v>
      </c>
      <c r="D27" s="37">
        <f>D26+D17</f>
        <v>9680.5056689632274</v>
      </c>
      <c r="E27" s="37">
        <f>E26+E17</f>
        <v>9433.6149706645538</v>
      </c>
    </row>
    <row r="28" spans="1:7" x14ac:dyDescent="0.2">
      <c r="A28" s="43"/>
      <c r="B28" s="34"/>
      <c r="C28" s="33"/>
      <c r="D28" s="34"/>
      <c r="E28" s="34"/>
    </row>
    <row r="29" spans="1:7" x14ac:dyDescent="0.2">
      <c r="A29" s="42" t="s">
        <v>124</v>
      </c>
      <c r="B29" s="37">
        <f>B27+B15</f>
        <v>9993.137422826685</v>
      </c>
      <c r="C29" s="36">
        <f>C27+C15</f>
        <v>10544.847762453184</v>
      </c>
      <c r="D29" s="37">
        <f>D27+D15</f>
        <v>19097.18405276546</v>
      </c>
      <c r="E29" s="37">
        <f>E27+E15</f>
        <v>19170.107243746246</v>
      </c>
    </row>
    <row r="30" spans="1:7" x14ac:dyDescent="0.2">
      <c r="A30" s="43"/>
      <c r="B30" s="34"/>
      <c r="C30" s="33"/>
      <c r="D30" s="34"/>
      <c r="E30" s="34"/>
    </row>
    <row r="31" spans="1:7" x14ac:dyDescent="0.2">
      <c r="A31" s="42" t="s">
        <v>125</v>
      </c>
      <c r="B31" s="34"/>
      <c r="C31" s="33"/>
      <c r="D31" s="34"/>
      <c r="E31" s="34"/>
    </row>
    <row r="32" spans="1:7" x14ac:dyDescent="0.2">
      <c r="A32" s="43" t="s">
        <v>126</v>
      </c>
      <c r="B32" s="34">
        <v>0</v>
      </c>
      <c r="C32" s="33">
        <v>0</v>
      </c>
      <c r="D32" s="34">
        <v>414.85051065407185</v>
      </c>
      <c r="E32" s="34">
        <v>415.42571549090536</v>
      </c>
    </row>
    <row r="33" spans="1:5" x14ac:dyDescent="0.2">
      <c r="A33" s="43" t="s">
        <v>127</v>
      </c>
      <c r="B33" s="34">
        <v>393.11492592639939</v>
      </c>
      <c r="C33" s="33">
        <v>459.36126698452063</v>
      </c>
      <c r="D33" s="34">
        <v>743.93158897140597</v>
      </c>
      <c r="E33" s="34">
        <v>1177.0608311070775</v>
      </c>
    </row>
    <row r="34" spans="1:5" s="48" customFormat="1" x14ac:dyDescent="0.2">
      <c r="A34" s="45" t="s">
        <v>128</v>
      </c>
      <c r="B34" s="46">
        <v>0</v>
      </c>
      <c r="C34" s="47">
        <v>0</v>
      </c>
      <c r="D34" s="46">
        <v>511.29318829649895</v>
      </c>
      <c r="E34" s="46">
        <v>884.34548080733202</v>
      </c>
    </row>
    <row r="35" spans="1:5" s="48" customFormat="1" x14ac:dyDescent="0.2">
      <c r="A35" s="45" t="s">
        <v>129</v>
      </c>
      <c r="B35" s="46">
        <v>150.1284624135595</v>
      </c>
      <c r="C35" s="47">
        <v>160.48214947656359</v>
      </c>
      <c r="D35" s="46">
        <v>226.69461736096022</v>
      </c>
      <c r="E35" s="46">
        <v>286.70765533726177</v>
      </c>
    </row>
    <row r="36" spans="1:5" x14ac:dyDescent="0.2">
      <c r="A36" s="43" t="s">
        <v>130</v>
      </c>
      <c r="B36" s="34">
        <v>318.38028709112524</v>
      </c>
      <c r="C36" s="33">
        <v>248.42151010443166</v>
      </c>
      <c r="D36" s="34">
        <v>915.98174683317779</v>
      </c>
      <c r="E36" s="34">
        <v>1069.6253499162758</v>
      </c>
    </row>
    <row r="37" spans="1:5" x14ac:dyDescent="0.2">
      <c r="A37" s="43" t="s">
        <v>131</v>
      </c>
      <c r="B37" s="34">
        <v>103.77800927997137</v>
      </c>
      <c r="C37" s="33">
        <v>136.39704472537167</v>
      </c>
      <c r="D37" s="34">
        <v>99.702171717817293</v>
      </c>
      <c r="E37" s="34">
        <v>136.77092786931345</v>
      </c>
    </row>
    <row r="38" spans="1:5" x14ac:dyDescent="0.2">
      <c r="A38" s="43" t="s">
        <v>132</v>
      </c>
      <c r="B38" s="34">
        <v>196.95198956961897</v>
      </c>
      <c r="C38" s="33">
        <v>199.27466670075287</v>
      </c>
      <c r="D38" s="34">
        <v>225.99158922705254</v>
      </c>
      <c r="E38" s="34">
        <v>227.14199890071964</v>
      </c>
    </row>
    <row r="39" spans="1:5" x14ac:dyDescent="0.2">
      <c r="A39" s="43" t="s">
        <v>133</v>
      </c>
      <c r="B39" s="34">
        <v>63.252975087239399</v>
      </c>
      <c r="C39" s="33">
        <v>1.9173494561118711</v>
      </c>
      <c r="D39" s="34">
        <v>21.218667314304707</v>
      </c>
      <c r="E39" s="34">
        <v>29.974563163882252</v>
      </c>
    </row>
    <row r="40" spans="1:5" x14ac:dyDescent="0.2">
      <c r="A40" s="42" t="s">
        <v>134</v>
      </c>
      <c r="B40" s="37">
        <f>SUM(B36:B39,B33,B32)</f>
        <v>1075.4781869543544</v>
      </c>
      <c r="C40" s="36">
        <f>SUM(C36:C39,C33,C32)</f>
        <v>1045.3718379711886</v>
      </c>
      <c r="D40" s="37">
        <f>SUM(D36:D39,D33,D32)</f>
        <v>2421.67627471783</v>
      </c>
      <c r="E40" s="37">
        <f>SUM(E36:E39,E33,E32)</f>
        <v>3055.9993864481744</v>
      </c>
    </row>
    <row r="41" spans="1:5" x14ac:dyDescent="0.2">
      <c r="A41" s="42" t="s">
        <v>135</v>
      </c>
      <c r="B41" s="34"/>
      <c r="C41" s="33"/>
      <c r="D41" s="34"/>
      <c r="E41" s="34"/>
    </row>
    <row r="42" spans="1:5" x14ac:dyDescent="0.2">
      <c r="A42" s="43" t="s">
        <v>136</v>
      </c>
      <c r="B42" s="34">
        <v>2106.3925069983256</v>
      </c>
      <c r="C42" s="33">
        <v>2209.6599261181345</v>
      </c>
      <c r="D42" s="34">
        <v>8404.1900476780902</v>
      </c>
      <c r="E42" s="34">
        <v>8473.8537445834882</v>
      </c>
    </row>
    <row r="43" spans="1:5" s="48" customFormat="1" ht="15" customHeight="1" x14ac:dyDescent="0.2">
      <c r="A43" s="45" t="s">
        <v>137</v>
      </c>
      <c r="B43" s="46">
        <v>0</v>
      </c>
      <c r="C43" s="47">
        <v>0</v>
      </c>
      <c r="D43" s="46">
        <v>2499.9680441757314</v>
      </c>
      <c r="E43" s="46">
        <v>2968.0569580611764</v>
      </c>
    </row>
    <row r="44" spans="1:5" s="48" customFormat="1" x14ac:dyDescent="0.2">
      <c r="A44" s="45" t="s">
        <v>128</v>
      </c>
      <c r="B44" s="46">
        <v>0</v>
      </c>
      <c r="C44" s="47">
        <v>0</v>
      </c>
      <c r="D44" s="46">
        <v>4345.9921005202414</v>
      </c>
      <c r="E44" s="46">
        <v>4154.3849782061279</v>
      </c>
    </row>
    <row r="45" spans="1:5" s="48" customFormat="1" x14ac:dyDescent="0.2">
      <c r="A45" s="45" t="s">
        <v>129</v>
      </c>
      <c r="B45" s="46">
        <v>308.62935078547417</v>
      </c>
      <c r="C45" s="47">
        <v>368.38674216762746</v>
      </c>
      <c r="D45" s="46">
        <v>766.74804749913721</v>
      </c>
      <c r="E45" s="46">
        <v>859.03646798665523</v>
      </c>
    </row>
    <row r="46" spans="1:5" x14ac:dyDescent="0.2">
      <c r="A46" s="43" t="s">
        <v>138</v>
      </c>
      <c r="B46" s="34">
        <v>314.84642030856543</v>
      </c>
      <c r="C46" s="33">
        <v>334.57748009152147</v>
      </c>
      <c r="D46" s="34">
        <v>272.00797617373746</v>
      </c>
      <c r="E46" s="34">
        <v>215.89354875819669</v>
      </c>
    </row>
    <row r="47" spans="1:5" x14ac:dyDescent="0.2">
      <c r="A47" s="42" t="s">
        <v>139</v>
      </c>
      <c r="B47" s="37">
        <f>SUM(B46,B42)</f>
        <v>2421.2389273068911</v>
      </c>
      <c r="C47" s="36">
        <f>SUM(C46,C42)</f>
        <v>2544.237406209656</v>
      </c>
      <c r="D47" s="37">
        <f>SUM(D46,D42)</f>
        <v>8676.1980238518281</v>
      </c>
      <c r="E47" s="37">
        <f>SUM(E46,E42)</f>
        <v>8689.7472933416848</v>
      </c>
    </row>
    <row r="48" spans="1:5" x14ac:dyDescent="0.2">
      <c r="A48" s="42" t="s">
        <v>140</v>
      </c>
      <c r="B48" s="34"/>
      <c r="C48" s="33"/>
      <c r="D48" s="34"/>
      <c r="E48" s="34"/>
    </row>
    <row r="49" spans="1:5" x14ac:dyDescent="0.2">
      <c r="A49" s="43" t="s">
        <v>141</v>
      </c>
      <c r="B49" s="34">
        <v>1936.1330896169138</v>
      </c>
      <c r="C49" s="33">
        <v>1936.1330896169138</v>
      </c>
      <c r="D49" s="34">
        <v>1936.1330896169138</v>
      </c>
      <c r="E49" s="34">
        <v>1936.1330896169138</v>
      </c>
    </row>
    <row r="50" spans="1:5" x14ac:dyDescent="0.2">
      <c r="A50" s="43" t="s">
        <v>142</v>
      </c>
      <c r="B50" s="34">
        <v>207.69962803420552</v>
      </c>
      <c r="C50" s="33">
        <v>207.69962803420552</v>
      </c>
      <c r="D50" s="34">
        <v>207.69962803420552</v>
      </c>
      <c r="E50" s="34">
        <v>207.69962803420552</v>
      </c>
    </row>
    <row r="51" spans="1:5" x14ac:dyDescent="0.2">
      <c r="A51" s="43" t="s">
        <v>143</v>
      </c>
      <c r="B51" s="34">
        <v>4352.631562128513</v>
      </c>
      <c r="C51" s="33">
        <v>4811.3819615763168</v>
      </c>
      <c r="D51" s="34">
        <v>5855.4574156685803</v>
      </c>
      <c r="E51" s="34">
        <v>5280.5082254291665</v>
      </c>
    </row>
    <row r="52" spans="1:5" x14ac:dyDescent="0.2">
      <c r="A52" s="42" t="s">
        <v>144</v>
      </c>
      <c r="B52" s="37">
        <f>SUM(B49:B51)</f>
        <v>6496.4642797796323</v>
      </c>
      <c r="C52" s="36">
        <f>SUM(C49:C51)</f>
        <v>6955.2146792274361</v>
      </c>
      <c r="D52" s="37">
        <f>SUM(D49:D51)</f>
        <v>7999.2901333196996</v>
      </c>
      <c r="E52" s="37">
        <f>SUM(E49:E51)</f>
        <v>7424.3409430802858</v>
      </c>
    </row>
    <row r="53" spans="1:5" x14ac:dyDescent="0.2">
      <c r="A53" s="43"/>
      <c r="B53" s="34"/>
      <c r="C53" s="33"/>
      <c r="D53" s="34"/>
      <c r="E53" s="34"/>
    </row>
    <row r="54" spans="1:5" x14ac:dyDescent="0.2">
      <c r="A54" s="42" t="s">
        <v>145</v>
      </c>
      <c r="B54" s="37">
        <f>B52+B47+B40</f>
        <v>9993.1813940408792</v>
      </c>
      <c r="C54" s="36">
        <f>C52+C47+C40</f>
        <v>10544.823923408281</v>
      </c>
      <c r="D54" s="37">
        <f>D52+D47+D40</f>
        <v>19097.164431889356</v>
      </c>
      <c r="E54" s="37">
        <f>E52+E47+E40</f>
        <v>19170.087622870145</v>
      </c>
    </row>
    <row r="55" spans="1:5" x14ac:dyDescent="0.2">
      <c r="B55" s="33"/>
      <c r="C55" s="33"/>
      <c r="D55" s="33"/>
      <c r="E55" s="33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B4" sqref="B4"/>
    </sheetView>
  </sheetViews>
  <sheetFormatPr defaultColWidth="8.85546875" defaultRowHeight="12.75" x14ac:dyDescent="0.2"/>
  <cols>
    <col min="1" max="1" width="37.28515625" style="3" bestFit="1" customWidth="1"/>
    <col min="2" max="16384" width="8.85546875" style="3"/>
  </cols>
  <sheetData>
    <row r="1" spans="1:5" x14ac:dyDescent="0.2">
      <c r="A1" s="15" t="s">
        <v>146</v>
      </c>
    </row>
    <row r="2" spans="1:5" x14ac:dyDescent="0.2">
      <c r="A2" s="29" t="s">
        <v>29</v>
      </c>
      <c r="B2" s="30">
        <v>2005</v>
      </c>
      <c r="C2" s="31">
        <v>2006</v>
      </c>
      <c r="D2" s="30">
        <v>2007</v>
      </c>
      <c r="E2" s="31">
        <v>2008</v>
      </c>
    </row>
    <row r="3" spans="1:5" x14ac:dyDescent="0.2">
      <c r="A3" s="35" t="s">
        <v>147</v>
      </c>
      <c r="C3" s="32"/>
      <c r="E3" s="32"/>
    </row>
    <row r="4" spans="1:5" x14ac:dyDescent="0.2">
      <c r="A4" s="32" t="s">
        <v>148</v>
      </c>
      <c r="B4" s="33">
        <v>1063.8129050400723</v>
      </c>
      <c r="C4" s="34">
        <v>584.40958419081369</v>
      </c>
      <c r="D4" s="33">
        <v>1044.1246021499878</v>
      </c>
      <c r="E4" s="34">
        <v>-574.94919023941304</v>
      </c>
    </row>
    <row r="5" spans="1:5" x14ac:dyDescent="0.2">
      <c r="A5" s="32"/>
      <c r="B5" s="33"/>
      <c r="C5" s="34"/>
      <c r="D5" s="33"/>
      <c r="E5" s="34"/>
    </row>
    <row r="6" spans="1:5" x14ac:dyDescent="0.2">
      <c r="A6" s="32" t="s">
        <v>149</v>
      </c>
      <c r="B6" s="33"/>
      <c r="C6" s="34"/>
      <c r="D6" s="33"/>
      <c r="E6" s="34"/>
    </row>
    <row r="7" spans="1:5" x14ac:dyDescent="0.2">
      <c r="A7" s="32" t="s">
        <v>89</v>
      </c>
      <c r="B7" s="33">
        <v>486.17143660603585</v>
      </c>
      <c r="C7" s="34">
        <v>644.5963979394885</v>
      </c>
      <c r="D7" s="33">
        <v>845.03981695703862</v>
      </c>
      <c r="E7" s="34">
        <v>935.09132974575948</v>
      </c>
    </row>
    <row r="8" spans="1:5" x14ac:dyDescent="0.2">
      <c r="A8" s="32" t="s">
        <v>150</v>
      </c>
      <c r="B8" s="33">
        <v>-810.82835887668887</v>
      </c>
      <c r="C8" s="34">
        <v>-298.56352178748097</v>
      </c>
      <c r="D8" s="33">
        <v>-840.88555980212959</v>
      </c>
      <c r="E8" s="34">
        <v>227.58938044047909</v>
      </c>
    </row>
    <row r="9" spans="1:5" x14ac:dyDescent="0.2">
      <c r="A9" s="32" t="s">
        <v>151</v>
      </c>
      <c r="B9" s="33">
        <v>-46.275037388314395</v>
      </c>
      <c r="C9" s="34">
        <v>-62.06274845653369</v>
      </c>
      <c r="D9" s="33">
        <v>-62.569503917784054</v>
      </c>
      <c r="E9" s="34">
        <v>-56.11442741554076</v>
      </c>
    </row>
    <row r="10" spans="1:5" x14ac:dyDescent="0.2">
      <c r="A10" s="32" t="s">
        <v>152</v>
      </c>
      <c r="B10" s="33">
        <v>114.0762210320453</v>
      </c>
      <c r="C10" s="34">
        <v>147.17203737553208</v>
      </c>
      <c r="D10" s="33">
        <v>174.67053545179144</v>
      </c>
      <c r="E10" s="34">
        <v>262.80469878440044</v>
      </c>
    </row>
    <row r="11" spans="1:5" x14ac:dyDescent="0.2">
      <c r="A11" s="32"/>
      <c r="C11" s="32"/>
      <c r="E11" s="32"/>
    </row>
    <row r="12" spans="1:5" x14ac:dyDescent="0.2">
      <c r="A12" s="32" t="s">
        <v>153</v>
      </c>
      <c r="B12" s="33">
        <v>35.666087201053266</v>
      </c>
      <c r="C12" s="34">
        <v>81.413597842342753</v>
      </c>
      <c r="D12" s="33">
        <v>-141.18083161837077</v>
      </c>
      <c r="E12" s="34">
        <v>321.92297368118312</v>
      </c>
    </row>
    <row r="13" spans="1:5" x14ac:dyDescent="0.2">
      <c r="A13" s="32" t="s">
        <v>84</v>
      </c>
      <c r="B13" s="33">
        <v>-99.813761456163007</v>
      </c>
      <c r="C13" s="34">
        <v>299.0904094180205</v>
      </c>
      <c r="D13" s="33">
        <v>-754.15745273733592</v>
      </c>
      <c r="E13" s="34">
        <v>-18.917847966970459</v>
      </c>
    </row>
    <row r="14" spans="1:5" x14ac:dyDescent="0.2">
      <c r="A14" s="32" t="s">
        <v>154</v>
      </c>
      <c r="B14" s="33">
        <v>0</v>
      </c>
      <c r="C14" s="34">
        <v>-171.66668797054953</v>
      </c>
      <c r="D14" s="33">
        <v>-252.32318842432224</v>
      </c>
      <c r="E14" s="34">
        <v>-260.05649789730677</v>
      </c>
    </row>
    <row r="15" spans="1:5" x14ac:dyDescent="0.2">
      <c r="A15" s="32" t="s">
        <v>155</v>
      </c>
      <c r="B15" s="33">
        <v>315.40865108074598</v>
      </c>
      <c r="C15" s="34">
        <v>-34.264057367095724</v>
      </c>
      <c r="D15" s="33">
        <v>805.86197640381943</v>
      </c>
      <c r="E15" s="34">
        <v>193.46056012168779</v>
      </c>
    </row>
    <row r="16" spans="1:5" x14ac:dyDescent="0.2">
      <c r="A16" s="35" t="s">
        <v>156</v>
      </c>
      <c r="B16" s="36">
        <f>SUM(B4:B15)</f>
        <v>1058.2181432387863</v>
      </c>
      <c r="C16" s="37">
        <f>SUM(C4:C15)</f>
        <v>1190.1250111845375</v>
      </c>
      <c r="D16" s="36">
        <f>SUM(D4:D15)</f>
        <v>818.5803944626947</v>
      </c>
      <c r="E16" s="37">
        <f>SUM(E4:E15)</f>
        <v>1030.8309792542791</v>
      </c>
    </row>
    <row r="17" spans="1:5" x14ac:dyDescent="0.2">
      <c r="A17" s="32"/>
      <c r="C17" s="32"/>
      <c r="E17" s="32"/>
    </row>
    <row r="18" spans="1:5" x14ac:dyDescent="0.2">
      <c r="A18" s="35" t="s">
        <v>157</v>
      </c>
      <c r="C18" s="32"/>
      <c r="E18" s="32"/>
    </row>
    <row r="19" spans="1:5" x14ac:dyDescent="0.2">
      <c r="A19" s="32" t="s">
        <v>158</v>
      </c>
      <c r="B19" s="33">
        <v>47.673743816548004</v>
      </c>
      <c r="C19" s="34">
        <v>66.376017793002958</v>
      </c>
      <c r="D19" s="33">
        <v>139.19957051372182</v>
      </c>
      <c r="E19" s="34">
        <v>45.44118210985134</v>
      </c>
    </row>
    <row r="20" spans="1:5" x14ac:dyDescent="0.2">
      <c r="A20" s="32" t="s">
        <v>159</v>
      </c>
      <c r="B20" s="33">
        <v>-394.54296780131148</v>
      </c>
      <c r="C20" s="34">
        <v>-466.85605818516484</v>
      </c>
      <c r="D20" s="33">
        <v>-572.64837089207879</v>
      </c>
      <c r="E20" s="34">
        <v>-15.977912134265592</v>
      </c>
    </row>
    <row r="21" spans="1:5" x14ac:dyDescent="0.2">
      <c r="A21" s="32" t="s">
        <v>160</v>
      </c>
      <c r="B21" s="33">
        <v>-1123.7372975598535</v>
      </c>
      <c r="C21" s="34">
        <v>-143.53731801158079</v>
      </c>
      <c r="D21" s="33">
        <v>-221.26212723530992</v>
      </c>
      <c r="E21" s="34">
        <v>-91.521480705073316</v>
      </c>
    </row>
    <row r="22" spans="1:5" x14ac:dyDescent="0.2">
      <c r="A22" s="32" t="s">
        <v>161</v>
      </c>
      <c r="B22" s="33">
        <v>0</v>
      </c>
      <c r="C22" s="34">
        <v>-288.11371160507713</v>
      </c>
      <c r="D22" s="33">
        <v>0</v>
      </c>
      <c r="E22" s="34">
        <v>0</v>
      </c>
    </row>
    <row r="23" spans="1:5" x14ac:dyDescent="0.2">
      <c r="A23" s="32" t="s">
        <v>162</v>
      </c>
      <c r="B23" s="33">
        <v>0</v>
      </c>
      <c r="C23" s="34">
        <v>0</v>
      </c>
      <c r="D23" s="33">
        <v>-3090.7673232523362</v>
      </c>
      <c r="E23" s="34">
        <v>-140.28606853885191</v>
      </c>
    </row>
    <row r="24" spans="1:5" x14ac:dyDescent="0.2">
      <c r="A24" s="32" t="s">
        <v>163</v>
      </c>
      <c r="B24" s="33">
        <v>1.2192425191415388</v>
      </c>
      <c r="C24" s="34">
        <v>6.6969820919560803</v>
      </c>
      <c r="D24" s="33">
        <v>0</v>
      </c>
      <c r="E24" s="34">
        <v>42.629069574220601</v>
      </c>
    </row>
    <row r="25" spans="1:5" x14ac:dyDescent="0.2">
      <c r="A25" s="35" t="s">
        <v>164</v>
      </c>
      <c r="B25" s="36">
        <f>SUM(B19:B24)</f>
        <v>-1469.3872790254754</v>
      </c>
      <c r="C25" s="37">
        <f>SUM(C19:C24)</f>
        <v>-825.43408791686375</v>
      </c>
      <c r="D25" s="36">
        <f>SUM(D19:D24)</f>
        <v>-3745.4782508660028</v>
      </c>
      <c r="E25" s="37">
        <f>SUM(E19:E24)</f>
        <v>-159.71520969411887</v>
      </c>
    </row>
    <row r="26" spans="1:5" x14ac:dyDescent="0.2">
      <c r="A26" s="32"/>
      <c r="C26" s="32"/>
      <c r="E26" s="32"/>
    </row>
    <row r="27" spans="1:5" x14ac:dyDescent="0.2">
      <c r="A27" s="35" t="s">
        <v>165</v>
      </c>
      <c r="C27" s="32"/>
      <c r="E27" s="32"/>
    </row>
    <row r="28" spans="1:5" x14ac:dyDescent="0.2">
      <c r="A28" s="32" t="s">
        <v>166</v>
      </c>
      <c r="B28" s="33">
        <v>1661.5008372425959</v>
      </c>
      <c r="C28" s="34">
        <v>697.1049940562167</v>
      </c>
      <c r="D28" s="33">
        <v>5995.6795725588945</v>
      </c>
      <c r="E28" s="34">
        <v>703.60333874451965</v>
      </c>
    </row>
    <row r="29" spans="1:5" x14ac:dyDescent="0.2">
      <c r="A29" s="32" t="s">
        <v>167</v>
      </c>
      <c r="B29" s="33">
        <v>-988.24000102258651</v>
      </c>
      <c r="C29" s="34">
        <v>-597.817608937405</v>
      </c>
      <c r="D29" s="33">
        <v>-2359.1706824485832</v>
      </c>
      <c r="E29" s="34">
        <v>-527.52674702491277</v>
      </c>
    </row>
    <row r="30" spans="1:5" x14ac:dyDescent="0.2">
      <c r="A30" s="32" t="s">
        <v>168</v>
      </c>
      <c r="B30" s="33">
        <v>-169.97558575025886</v>
      </c>
      <c r="C30" s="34">
        <v>-236.74120895274373</v>
      </c>
      <c r="D30" s="33">
        <v>-301.79080439200851</v>
      </c>
      <c r="E30" s="34">
        <v>-344.41987396622909</v>
      </c>
    </row>
    <row r="31" spans="1:5" x14ac:dyDescent="0.2">
      <c r="A31" s="32" t="s">
        <v>169</v>
      </c>
      <c r="B31" s="33">
        <v>-48.407705188347634</v>
      </c>
      <c r="C31" s="34">
        <v>-96.806782304142743</v>
      </c>
      <c r="D31" s="33">
        <v>0</v>
      </c>
      <c r="E31" s="34">
        <v>0</v>
      </c>
    </row>
    <row r="32" spans="1:5" x14ac:dyDescent="0.2">
      <c r="A32" s="32" t="s">
        <v>170</v>
      </c>
      <c r="B32" s="33">
        <v>-15.286643743688725</v>
      </c>
      <c r="C32" s="34">
        <v>-28.916314087405571</v>
      </c>
      <c r="D32" s="33">
        <v>0</v>
      </c>
      <c r="E32" s="34">
        <v>0</v>
      </c>
    </row>
    <row r="33" spans="1:5" x14ac:dyDescent="0.2">
      <c r="A33" s="32" t="s">
        <v>171</v>
      </c>
      <c r="B33" s="33">
        <v>25.000000000000004</v>
      </c>
      <c r="C33" s="34">
        <v>19.767489422622166</v>
      </c>
      <c r="D33" s="33">
        <v>0</v>
      </c>
      <c r="E33" s="34">
        <v>0</v>
      </c>
    </row>
    <row r="34" spans="1:5" x14ac:dyDescent="0.2">
      <c r="A34" s="32" t="s">
        <v>172</v>
      </c>
      <c r="B34" s="33">
        <v>-115.29546355118684</v>
      </c>
      <c r="C34" s="34">
        <v>-152.11477253844288</v>
      </c>
      <c r="D34" s="33">
        <v>-418.94085616044384</v>
      </c>
      <c r="E34" s="34">
        <v>-689.67059936344003</v>
      </c>
    </row>
    <row r="35" spans="1:5" x14ac:dyDescent="0.2">
      <c r="A35" s="35" t="s">
        <v>173</v>
      </c>
      <c r="B35" s="36">
        <f>SUM(B28:B34)</f>
        <v>349.29543798652736</v>
      </c>
      <c r="C35" s="37">
        <f>SUM(C28:C34)</f>
        <v>-395.52420334130102</v>
      </c>
      <c r="D35" s="36">
        <f>SUM(D28:D34)</f>
        <v>2915.7772295578593</v>
      </c>
      <c r="E35" s="37">
        <f>SUM(E28:E34)</f>
        <v>-858.0138816100623</v>
      </c>
    </row>
    <row r="36" spans="1:5" x14ac:dyDescent="0.2">
      <c r="A36" s="32"/>
      <c r="C36" s="32"/>
      <c r="E36" s="32"/>
    </row>
    <row r="37" spans="1:5" x14ac:dyDescent="0.2">
      <c r="A37" s="35" t="s">
        <v>174</v>
      </c>
      <c r="B37" s="36">
        <f>B16+B25+B35</f>
        <v>-61.873697800161779</v>
      </c>
      <c r="C37" s="37">
        <f>C16+C25+C35</f>
        <v>-30.833280073627293</v>
      </c>
      <c r="D37" s="36">
        <f>D16+D25+D35</f>
        <v>-11.120626845448896</v>
      </c>
      <c r="E37" s="37">
        <f>E16+E25+E35</f>
        <v>13.101887950097989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4" sqref="B4"/>
    </sheetView>
  </sheetViews>
  <sheetFormatPr defaultRowHeight="15" x14ac:dyDescent="0.25"/>
  <cols>
    <col min="1" max="1" width="27.7109375" bestFit="1" customWidth="1"/>
  </cols>
  <sheetData>
    <row r="1" spans="1:8" x14ac:dyDescent="0.25">
      <c r="A1" s="1"/>
      <c r="B1" s="1">
        <v>2002</v>
      </c>
      <c r="C1" s="1">
        <v>2003</v>
      </c>
      <c r="D1" s="1">
        <v>2004</v>
      </c>
      <c r="E1" s="1">
        <v>2005</v>
      </c>
      <c r="F1" s="1">
        <v>2006</v>
      </c>
      <c r="G1" s="1">
        <v>2007</v>
      </c>
      <c r="H1" s="1">
        <v>2008</v>
      </c>
    </row>
    <row r="2" spans="1:8" x14ac:dyDescent="0.25">
      <c r="A2" t="s">
        <v>5</v>
      </c>
      <c r="B2" s="2">
        <v>4004</v>
      </c>
      <c r="C2" s="2">
        <v>3796</v>
      </c>
      <c r="D2" s="2">
        <v>3664</v>
      </c>
      <c r="E2" s="2">
        <v>3904</v>
      </c>
      <c r="F2" s="2">
        <v>3889</v>
      </c>
      <c r="G2" s="2">
        <v>3739</v>
      </c>
      <c r="H2" s="2">
        <v>3692</v>
      </c>
    </row>
    <row r="3" spans="1:8" x14ac:dyDescent="0.25">
      <c r="A3" t="s">
        <v>6</v>
      </c>
      <c r="B3" s="2">
        <v>2030</v>
      </c>
      <c r="C3" s="2">
        <v>2031</v>
      </c>
      <c r="D3" s="2">
        <v>2013</v>
      </c>
      <c r="E3" s="2">
        <v>2015</v>
      </c>
      <c r="F3" s="2">
        <v>2112</v>
      </c>
      <c r="G3" s="2">
        <v>1977</v>
      </c>
      <c r="H3" s="2">
        <v>1977</v>
      </c>
    </row>
    <row r="4" spans="1:8" x14ac:dyDescent="0.25">
      <c r="A4" t="s">
        <v>7</v>
      </c>
      <c r="B4" s="2">
        <v>4453</v>
      </c>
      <c r="C4" s="2">
        <v>3691</v>
      </c>
      <c r="D4" s="2">
        <v>2155</v>
      </c>
      <c r="E4" s="2">
        <v>2594</v>
      </c>
      <c r="F4" s="2">
        <v>1760</v>
      </c>
      <c r="G4" s="2">
        <v>2099</v>
      </c>
      <c r="H4" s="2">
        <v>1845</v>
      </c>
    </row>
    <row r="21" spans="1:1" x14ac:dyDescent="0.25">
      <c r="A21" t="s">
        <v>8</v>
      </c>
    </row>
    <row r="22" spans="1:1" x14ac:dyDescent="0.25">
      <c r="A22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4" sqref="B4"/>
    </sheetView>
  </sheetViews>
  <sheetFormatPr defaultRowHeight="15" x14ac:dyDescent="0.25"/>
  <cols>
    <col min="1" max="1" width="23.85546875" customWidth="1"/>
  </cols>
  <sheetData>
    <row r="1" spans="1:8" x14ac:dyDescent="0.25">
      <c r="B1" s="5">
        <v>2002</v>
      </c>
      <c r="C1" s="5">
        <v>2003</v>
      </c>
      <c r="D1" s="5">
        <v>2004</v>
      </c>
      <c r="E1" s="5">
        <v>2005</v>
      </c>
      <c r="F1" s="5">
        <v>2006</v>
      </c>
      <c r="G1" s="5">
        <v>2007</v>
      </c>
      <c r="H1" s="5">
        <v>2008</v>
      </c>
    </row>
    <row r="2" spans="1:8" x14ac:dyDescent="0.25">
      <c r="A2" s="6" t="s">
        <v>10</v>
      </c>
      <c r="B2" s="7">
        <v>14053</v>
      </c>
      <c r="C2" s="7">
        <v>13857</v>
      </c>
      <c r="D2" s="7">
        <v>14508</v>
      </c>
      <c r="E2" s="7">
        <v>15004</v>
      </c>
      <c r="F2" s="7">
        <v>16642</v>
      </c>
      <c r="G2" s="7">
        <v>15643</v>
      </c>
      <c r="H2" s="7">
        <v>15166</v>
      </c>
    </row>
    <row r="3" spans="1:8" x14ac:dyDescent="0.25">
      <c r="A3" s="6" t="s">
        <v>11</v>
      </c>
      <c r="B3" s="7">
        <v>7000</v>
      </c>
      <c r="C3" s="7">
        <v>6931</v>
      </c>
      <c r="D3" s="7">
        <v>7169</v>
      </c>
      <c r="E3" s="7">
        <v>7509</v>
      </c>
      <c r="F3" s="7">
        <v>7899</v>
      </c>
      <c r="G3" s="7">
        <v>7569</v>
      </c>
      <c r="H3" s="7">
        <v>7582</v>
      </c>
    </row>
    <row r="21" spans="1:1" x14ac:dyDescent="0.25">
      <c r="A21" t="s">
        <v>12</v>
      </c>
    </row>
    <row r="22" spans="1:1" x14ac:dyDescent="0.25">
      <c r="A22" t="s">
        <v>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7" sqref="J7"/>
    </sheetView>
  </sheetViews>
  <sheetFormatPr defaultRowHeight="15" x14ac:dyDescent="0.25"/>
  <cols>
    <col min="1" max="1" width="23.85546875" customWidth="1"/>
  </cols>
  <sheetData>
    <row r="1" spans="1:6" x14ac:dyDescent="0.25">
      <c r="B1" s="5">
        <v>2004</v>
      </c>
      <c r="C1" s="5">
        <v>2005</v>
      </c>
      <c r="D1" s="5">
        <v>2006</v>
      </c>
      <c r="E1" s="5">
        <v>2007</v>
      </c>
      <c r="F1" s="5">
        <v>2008</v>
      </c>
    </row>
    <row r="2" spans="1:6" x14ac:dyDescent="0.25">
      <c r="A2" s="6" t="s">
        <v>10</v>
      </c>
      <c r="B2" s="7">
        <v>652400</v>
      </c>
      <c r="C2" s="7">
        <v>670427</v>
      </c>
      <c r="D2" s="7">
        <v>691966</v>
      </c>
      <c r="E2" s="7">
        <v>692416</v>
      </c>
      <c r="F2" s="7">
        <v>694203</v>
      </c>
    </row>
    <row r="3" spans="1:6" x14ac:dyDescent="0.25">
      <c r="A3" s="6" t="s">
        <v>13</v>
      </c>
      <c r="B3" s="7">
        <v>5528</v>
      </c>
      <c r="C3" s="7">
        <v>5886</v>
      </c>
      <c r="D3" s="7">
        <v>6285</v>
      </c>
      <c r="E3" s="7">
        <v>6484</v>
      </c>
      <c r="F3" s="7">
        <v>6781</v>
      </c>
    </row>
    <row r="20" spans="1:1" x14ac:dyDescent="0.25">
      <c r="A20" t="s">
        <v>177</v>
      </c>
    </row>
    <row r="21" spans="1:1" x14ac:dyDescent="0.25">
      <c r="A21" s="8" t="s">
        <v>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3" sqref="D3"/>
    </sheetView>
  </sheetViews>
  <sheetFormatPr defaultRowHeight="15" x14ac:dyDescent="0.25"/>
  <cols>
    <col min="1" max="1" width="20.28515625" bestFit="1" customWidth="1"/>
    <col min="2" max="2" width="10" customWidth="1"/>
    <col min="3" max="9" width="10.42578125" bestFit="1" customWidth="1"/>
    <col min="10" max="10" width="11.28515625" customWidth="1"/>
  </cols>
  <sheetData>
    <row r="1" spans="1:12" x14ac:dyDescent="0.25">
      <c r="A1" s="6"/>
      <c r="B1" s="5">
        <v>2001</v>
      </c>
      <c r="C1" s="5">
        <v>2002</v>
      </c>
      <c r="D1" s="5">
        <f t="shared" ref="D1:I1" si="0">C1+1</f>
        <v>2003</v>
      </c>
      <c r="E1" s="5">
        <f t="shared" si="0"/>
        <v>2004</v>
      </c>
      <c r="F1" s="5">
        <f t="shared" si="0"/>
        <v>2005</v>
      </c>
      <c r="G1" s="5">
        <f t="shared" si="0"/>
        <v>2006</v>
      </c>
      <c r="H1" s="5">
        <f t="shared" si="0"/>
        <v>2007</v>
      </c>
      <c r="I1" s="5">
        <f t="shared" si="0"/>
        <v>2008</v>
      </c>
      <c r="J1" s="5" t="s">
        <v>15</v>
      </c>
    </row>
    <row r="2" spans="1:12" x14ac:dyDescent="0.25">
      <c r="A2" s="6" t="s">
        <v>16</v>
      </c>
      <c r="B2" s="9">
        <v>0.32669999999999999</v>
      </c>
      <c r="C2" s="9">
        <v>0.30959999999999999</v>
      </c>
      <c r="D2" s="9">
        <v>0.30099999999999999</v>
      </c>
      <c r="E2" s="9">
        <v>0.29699999999999999</v>
      </c>
      <c r="F2" s="9">
        <v>0.28920000000000001</v>
      </c>
      <c r="G2" s="9">
        <v>0.28339999999999999</v>
      </c>
      <c r="H2" s="9">
        <v>0.32520000000000004</v>
      </c>
      <c r="I2" s="9">
        <v>0.34960000000000002</v>
      </c>
      <c r="J2" s="9">
        <v>0.26269999999999999</v>
      </c>
    </row>
    <row r="3" spans="1:12" x14ac:dyDescent="0.25">
      <c r="A3" s="6" t="s">
        <v>17</v>
      </c>
      <c r="B3" s="9">
        <v>0.36890000000000001</v>
      </c>
      <c r="C3" s="9">
        <v>0.2772</v>
      </c>
      <c r="D3" s="9">
        <v>0.25040000000000001</v>
      </c>
      <c r="E3" s="9">
        <v>0.31329999999999997</v>
      </c>
      <c r="F3" s="9">
        <v>0.28160000000000002</v>
      </c>
      <c r="G3" s="9">
        <v>0.23469999999999999</v>
      </c>
      <c r="H3" s="9">
        <v>0.32119999999999999</v>
      </c>
      <c r="I3" s="9">
        <v>0.29370000000000002</v>
      </c>
      <c r="J3" s="9">
        <v>0.19550000000000001</v>
      </c>
    </row>
    <row r="4" spans="1:12" x14ac:dyDescent="0.25">
      <c r="A4" s="6" t="s">
        <v>18</v>
      </c>
      <c r="B4" s="9"/>
      <c r="C4" s="9"/>
      <c r="D4" s="9">
        <v>0.18419337</v>
      </c>
      <c r="E4" s="9">
        <v>0.24529291</v>
      </c>
      <c r="F4" s="9">
        <v>0.25404880000000002</v>
      </c>
      <c r="G4" s="9">
        <v>0.24318381999999999</v>
      </c>
      <c r="H4" s="9">
        <v>0.26855675000000001</v>
      </c>
      <c r="I4" s="9">
        <v>0.29642223000000001</v>
      </c>
      <c r="J4" s="9">
        <f>193.97/1000</f>
        <v>0.19397</v>
      </c>
      <c r="L4" s="10"/>
    </row>
    <row r="5" spans="1:12" x14ac:dyDescent="0.25">
      <c r="A5" s="6" t="s">
        <v>19</v>
      </c>
      <c r="B5" s="9">
        <v>0.18981759615507524</v>
      </c>
      <c r="C5" s="9">
        <v>0.18342643130136901</v>
      </c>
      <c r="D5" s="9">
        <v>0.21090844017230581</v>
      </c>
      <c r="E5" s="9">
        <v>0.25564659414824947</v>
      </c>
      <c r="F5" s="9">
        <v>0.26331599197269695</v>
      </c>
      <c r="G5" s="9">
        <v>0.25053366226528445</v>
      </c>
      <c r="H5" s="9">
        <v>0.27545920519473877</v>
      </c>
      <c r="I5" s="9">
        <v>0.31124972837549375</v>
      </c>
      <c r="J5" s="9">
        <v>0.21</v>
      </c>
    </row>
    <row r="25" spans="1:1" x14ac:dyDescent="0.25">
      <c r="A25" t="s">
        <v>20</v>
      </c>
    </row>
    <row r="26" spans="1:1" x14ac:dyDescent="0.25">
      <c r="A26" t="s">
        <v>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workbookViewId="0">
      <selection activeCell="B4" sqref="B4"/>
    </sheetView>
  </sheetViews>
  <sheetFormatPr defaultColWidth="8.85546875" defaultRowHeight="12.75" x14ac:dyDescent="0.2"/>
  <cols>
    <col min="1" max="1" width="23.42578125" style="3" bestFit="1" customWidth="1"/>
    <col min="2" max="16384" width="8.85546875" style="3"/>
  </cols>
  <sheetData>
    <row r="2" spans="1:8" x14ac:dyDescent="0.2">
      <c r="A2" s="3" t="s">
        <v>22</v>
      </c>
    </row>
    <row r="3" spans="1:8" x14ac:dyDescent="0.2">
      <c r="A3" s="11"/>
      <c r="B3" s="12">
        <v>2002</v>
      </c>
      <c r="C3" s="12">
        <v>2003</v>
      </c>
      <c r="D3" s="12">
        <v>2004</v>
      </c>
      <c r="E3" s="12">
        <v>2005</v>
      </c>
      <c r="F3" s="12">
        <v>2006</v>
      </c>
      <c r="G3" s="12">
        <v>2007</v>
      </c>
      <c r="H3" s="12">
        <v>2008</v>
      </c>
    </row>
    <row r="4" spans="1:8" x14ac:dyDescent="0.2">
      <c r="A4" s="11" t="s">
        <v>23</v>
      </c>
      <c r="B4" s="13">
        <v>3821.2</v>
      </c>
      <c r="C4" s="13">
        <v>2528.3000000000002</v>
      </c>
      <c r="D4" s="13">
        <v>3117.9</v>
      </c>
      <c r="E4" s="13">
        <v>4327.3999999999996</v>
      </c>
      <c r="F4" s="13">
        <v>3758.4</v>
      </c>
      <c r="G4" s="13">
        <v>3486.3</v>
      </c>
      <c r="H4" s="13">
        <v>6563.2</v>
      </c>
    </row>
    <row r="5" spans="1:8" x14ac:dyDescent="0.2">
      <c r="A5" s="11" t="s">
        <v>24</v>
      </c>
      <c r="B5" s="13">
        <v>25.7</v>
      </c>
      <c r="C5" s="13">
        <v>22.4</v>
      </c>
      <c r="D5" s="13">
        <v>26.8</v>
      </c>
      <c r="E5" s="13">
        <v>35</v>
      </c>
      <c r="F5" s="13">
        <v>30</v>
      </c>
      <c r="G5" s="13">
        <v>39</v>
      </c>
      <c r="H5" s="13">
        <v>35.6</v>
      </c>
    </row>
    <row r="6" spans="1:8" x14ac:dyDescent="0.2">
      <c r="A6" s="11" t="s">
        <v>25</v>
      </c>
      <c r="B6" s="13">
        <v>17578</v>
      </c>
      <c r="C6" s="13">
        <v>27114</v>
      </c>
      <c r="D6" s="13">
        <v>35143</v>
      </c>
      <c r="E6" s="13">
        <v>35117</v>
      </c>
      <c r="F6" s="13">
        <v>22343</v>
      </c>
      <c r="G6" s="13">
        <v>40802</v>
      </c>
      <c r="H6" s="13">
        <v>35629</v>
      </c>
    </row>
    <row r="7" spans="1:8" x14ac:dyDescent="0.2">
      <c r="A7" s="11" t="s">
        <v>26</v>
      </c>
      <c r="B7" s="13">
        <v>13</v>
      </c>
      <c r="C7" s="13">
        <v>11.8</v>
      </c>
      <c r="D7" s="13">
        <v>12.2</v>
      </c>
      <c r="E7" s="13">
        <v>8.9</v>
      </c>
      <c r="F7" s="13">
        <v>11.3</v>
      </c>
      <c r="G7" s="13">
        <v>12.1</v>
      </c>
      <c r="H7" s="13">
        <v>8.6</v>
      </c>
    </row>
    <row r="8" spans="1:8" x14ac:dyDescent="0.2">
      <c r="A8" s="11" t="s">
        <v>27</v>
      </c>
      <c r="B8" s="13">
        <v>115</v>
      </c>
      <c r="C8" s="13">
        <v>117.6</v>
      </c>
      <c r="D8" s="13">
        <v>120.4</v>
      </c>
      <c r="E8" s="13">
        <v>87</v>
      </c>
      <c r="F8" s="13">
        <v>104</v>
      </c>
      <c r="G8" s="13">
        <v>86</v>
      </c>
      <c r="H8" s="13">
        <v>84</v>
      </c>
    </row>
    <row r="9" spans="1:8" x14ac:dyDescent="0.2">
      <c r="A9" s="3" t="s">
        <v>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"/>
    </sheetView>
  </sheetViews>
  <sheetFormatPr defaultColWidth="8.85546875" defaultRowHeight="12.75" x14ac:dyDescent="0.2"/>
  <cols>
    <col min="1" max="1" width="35" style="3" customWidth="1"/>
    <col min="2" max="2" width="14.28515625" style="3" customWidth="1"/>
    <col min="3" max="3" width="8.85546875" style="3"/>
    <col min="4" max="4" width="11.85546875" style="3" customWidth="1"/>
    <col min="5" max="16384" width="8.85546875" style="3"/>
  </cols>
  <sheetData>
    <row r="1" spans="1:4" x14ac:dyDescent="0.2">
      <c r="A1" s="3" t="s">
        <v>176</v>
      </c>
    </row>
    <row r="2" spans="1:4" ht="25.5" x14ac:dyDescent="0.2">
      <c r="A2" s="11" t="s">
        <v>29</v>
      </c>
      <c r="B2" s="14" t="s">
        <v>30</v>
      </c>
      <c r="C2" s="14" t="s">
        <v>31</v>
      </c>
      <c r="D2" s="14" t="s">
        <v>32</v>
      </c>
    </row>
    <row r="3" spans="1:4" x14ac:dyDescent="0.2">
      <c r="A3" s="11" t="s">
        <v>33</v>
      </c>
      <c r="B3" s="13">
        <v>5454</v>
      </c>
      <c r="C3" s="13">
        <v>190</v>
      </c>
      <c r="D3" s="13">
        <v>219</v>
      </c>
    </row>
    <row r="4" spans="1:4" x14ac:dyDescent="0.2">
      <c r="A4" s="11" t="s">
        <v>34</v>
      </c>
      <c r="B4" s="13">
        <v>3059</v>
      </c>
      <c r="C4" s="13">
        <v>3059</v>
      </c>
      <c r="D4" s="13">
        <v>127</v>
      </c>
    </row>
    <row r="5" spans="1:4" x14ac:dyDescent="0.2">
      <c r="A5" s="11" t="s">
        <v>35</v>
      </c>
      <c r="B5" s="13">
        <v>835</v>
      </c>
      <c r="C5" s="13">
        <v>168</v>
      </c>
      <c r="D5" s="13">
        <v>39</v>
      </c>
    </row>
    <row r="6" spans="1:4" x14ac:dyDescent="0.2">
      <c r="A6" s="11" t="s">
        <v>36</v>
      </c>
      <c r="B6" s="13">
        <v>486</v>
      </c>
      <c r="C6" s="13"/>
      <c r="D6" s="13"/>
    </row>
    <row r="7" spans="1:4" x14ac:dyDescent="0.2">
      <c r="A7" s="3" t="s">
        <v>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6" sqref="E6"/>
    </sheetView>
  </sheetViews>
  <sheetFormatPr defaultColWidth="8.85546875" defaultRowHeight="12.75" x14ac:dyDescent="0.2"/>
  <cols>
    <col min="1" max="1" width="5.42578125" style="3" bestFit="1" customWidth="1"/>
    <col min="2" max="2" width="10.5703125" style="3" customWidth="1"/>
    <col min="3" max="3" width="8.7109375" style="3" customWidth="1"/>
    <col min="4" max="4" width="8.5703125" style="3" customWidth="1"/>
    <col min="5" max="5" width="9.85546875" style="3" customWidth="1"/>
    <col min="6" max="6" width="9" style="3" bestFit="1" customWidth="1"/>
    <col min="7" max="7" width="11.140625" style="3" customWidth="1"/>
    <col min="8" max="8" width="12.28515625" style="3" customWidth="1"/>
    <col min="9" max="9" width="12.42578125" style="3" customWidth="1"/>
    <col min="10" max="16384" width="8.85546875" style="3"/>
  </cols>
  <sheetData>
    <row r="1" spans="1:9" x14ac:dyDescent="0.2">
      <c r="A1" s="15" t="s">
        <v>38</v>
      </c>
    </row>
    <row r="2" spans="1:9" ht="43.9" customHeight="1" x14ac:dyDescent="0.2">
      <c r="A2" s="49" t="s">
        <v>39</v>
      </c>
      <c r="B2" s="51" t="s">
        <v>40</v>
      </c>
      <c r="C2" s="51"/>
      <c r="D2" s="51" t="s">
        <v>41</v>
      </c>
      <c r="E2" s="51"/>
      <c r="F2" s="51" t="s">
        <v>42</v>
      </c>
      <c r="G2" s="51"/>
      <c r="H2" s="51" t="s">
        <v>43</v>
      </c>
      <c r="I2" s="51"/>
    </row>
    <row r="3" spans="1:9" ht="51" x14ac:dyDescent="0.2">
      <c r="A3" s="50"/>
      <c r="B3" s="14" t="s">
        <v>44</v>
      </c>
      <c r="C3" s="14" t="s">
        <v>45</v>
      </c>
      <c r="D3" s="16" t="s">
        <v>46</v>
      </c>
      <c r="E3" s="14" t="s">
        <v>47</v>
      </c>
      <c r="F3" s="16" t="s">
        <v>46</v>
      </c>
      <c r="G3" s="14" t="s">
        <v>48</v>
      </c>
      <c r="H3" s="14" t="s">
        <v>49</v>
      </c>
      <c r="I3" s="17" t="s">
        <v>50</v>
      </c>
    </row>
    <row r="4" spans="1:9" x14ac:dyDescent="0.2">
      <c r="A4" s="11">
        <v>1996</v>
      </c>
      <c r="B4" s="11">
        <v>38</v>
      </c>
      <c r="C4" s="18">
        <v>2569.6878000000002</v>
      </c>
      <c r="D4" s="19">
        <v>5.9000000000000004E-2</v>
      </c>
      <c r="E4" s="19">
        <v>1.8000000000000002E-2</v>
      </c>
      <c r="F4" s="19">
        <v>0</v>
      </c>
      <c r="G4" s="19"/>
      <c r="H4" s="11"/>
      <c r="I4" s="11"/>
    </row>
    <row r="5" spans="1:9" x14ac:dyDescent="0.2">
      <c r="A5" s="11">
        <v>1997</v>
      </c>
      <c r="B5" s="11">
        <v>42</v>
      </c>
      <c r="C5" s="18">
        <v>3201.5547999999999</v>
      </c>
      <c r="D5" s="19">
        <v>0.11699999999999999</v>
      </c>
      <c r="E5" s="19">
        <v>2.7000000000000003E-2</v>
      </c>
      <c r="F5" s="19">
        <v>0.04</v>
      </c>
      <c r="G5" s="19"/>
      <c r="H5" s="11"/>
      <c r="I5" s="11"/>
    </row>
    <row r="6" spans="1:9" x14ac:dyDescent="0.2">
      <c r="A6" s="11">
        <v>1998</v>
      </c>
      <c r="B6" s="11">
        <v>42</v>
      </c>
      <c r="C6" s="18">
        <v>3630.3937000000001</v>
      </c>
      <c r="D6" s="19">
        <v>6.8000000000000005E-2</v>
      </c>
      <c r="E6" s="19">
        <v>0.03</v>
      </c>
      <c r="F6" s="19">
        <v>5.2000000000000005E-2</v>
      </c>
      <c r="G6" s="19"/>
      <c r="H6" s="11"/>
      <c r="I6" s="11"/>
    </row>
    <row r="7" spans="1:9" x14ac:dyDescent="0.2">
      <c r="A7" s="11">
        <v>1999</v>
      </c>
      <c r="B7" s="11">
        <v>42</v>
      </c>
      <c r="C7" s="18">
        <v>3895.22165</v>
      </c>
      <c r="D7" s="19">
        <v>-3.0000000000000001E-3</v>
      </c>
      <c r="E7" s="19">
        <v>0.03</v>
      </c>
      <c r="F7" s="19">
        <v>3.4000000000000002E-2</v>
      </c>
      <c r="G7" s="19"/>
      <c r="H7" s="11"/>
      <c r="I7" s="11"/>
    </row>
    <row r="8" spans="1:9" x14ac:dyDescent="0.2">
      <c r="A8" s="11">
        <v>2000</v>
      </c>
      <c r="B8" s="11">
        <v>45</v>
      </c>
      <c r="C8" s="18">
        <v>4497.8219099999997</v>
      </c>
      <c r="D8" s="19">
        <v>9.6999999999999989E-2</v>
      </c>
      <c r="E8" s="19">
        <v>3.9E-2</v>
      </c>
      <c r="F8" s="19">
        <v>0.04</v>
      </c>
      <c r="G8" s="19"/>
      <c r="H8" s="11"/>
      <c r="I8" s="11"/>
    </row>
    <row r="9" spans="1:9" x14ac:dyDescent="0.2">
      <c r="A9" s="11">
        <v>2001</v>
      </c>
      <c r="B9" s="11">
        <v>46</v>
      </c>
      <c r="C9" s="18">
        <v>5110.2294599999996</v>
      </c>
      <c r="D9" s="19">
        <v>6.3E-2</v>
      </c>
      <c r="E9" s="19">
        <v>2.2000000000000002E-2</v>
      </c>
      <c r="F9" s="19">
        <v>5.9000000000000004E-2</v>
      </c>
      <c r="G9" s="19">
        <v>2.4E-2</v>
      </c>
      <c r="H9" s="13">
        <v>1783.1</v>
      </c>
      <c r="I9" s="11"/>
    </row>
    <row r="10" spans="1:9" x14ac:dyDescent="0.2">
      <c r="A10" s="11">
        <v>2002</v>
      </c>
      <c r="B10" s="11">
        <v>50</v>
      </c>
      <c r="C10" s="18">
        <v>5723.5782300000001</v>
      </c>
      <c r="D10" s="19">
        <v>6.6000000000000003E-2</v>
      </c>
      <c r="E10" s="19">
        <v>1.3000000000000001E-2</v>
      </c>
      <c r="F10" s="19">
        <v>2.8999999999999998E-2</v>
      </c>
      <c r="G10" s="19">
        <v>1.3000000000000001E-2</v>
      </c>
      <c r="H10" s="13">
        <v>2113.6999999999998</v>
      </c>
      <c r="I10" s="19">
        <f>(H10-H9)/H9</f>
        <v>0.18540743648701696</v>
      </c>
    </row>
    <row r="11" spans="1:9" x14ac:dyDescent="0.2">
      <c r="A11" s="11">
        <v>2003</v>
      </c>
      <c r="B11" s="11">
        <v>55</v>
      </c>
      <c r="C11" s="18">
        <v>6441.4711200000002</v>
      </c>
      <c r="D11" s="19">
        <v>7.8E-2</v>
      </c>
      <c r="E11" s="19">
        <v>1.3999999999999999E-2</v>
      </c>
      <c r="F11" s="19">
        <v>5.5E-2</v>
      </c>
      <c r="G11" s="19">
        <v>1.3000000000000001E-2</v>
      </c>
      <c r="H11" s="13">
        <v>2496.4</v>
      </c>
      <c r="I11" s="19">
        <f t="shared" ref="I11:I16" si="0">(H11-H10)/H10</f>
        <v>0.18105691441548011</v>
      </c>
    </row>
    <row r="12" spans="1:9" x14ac:dyDescent="0.2">
      <c r="A12" s="11">
        <v>2004</v>
      </c>
      <c r="B12" s="11">
        <v>57</v>
      </c>
      <c r="C12" s="18">
        <v>7178.0522799999999</v>
      </c>
      <c r="D12" s="19">
        <v>6.3E-2</v>
      </c>
      <c r="E12" s="19">
        <v>2.5000000000000001E-2</v>
      </c>
      <c r="F12" s="19">
        <v>5.0999999999999997E-2</v>
      </c>
      <c r="G12" s="19">
        <v>0.01</v>
      </c>
      <c r="H12" s="13">
        <v>3184.7</v>
      </c>
      <c r="I12" s="19">
        <f t="shared" si="0"/>
        <v>0.27571703252683855</v>
      </c>
    </row>
    <row r="13" spans="1:9" x14ac:dyDescent="0.2">
      <c r="A13" s="11">
        <v>2005</v>
      </c>
      <c r="B13" s="11">
        <v>62</v>
      </c>
      <c r="C13" s="18">
        <v>8306.7860899999996</v>
      </c>
      <c r="D13" s="19">
        <v>8.900000000000001E-2</v>
      </c>
      <c r="E13" s="19">
        <v>0.02</v>
      </c>
      <c r="F13" s="19">
        <v>0.128</v>
      </c>
      <c r="G13" s="19">
        <v>1.7000000000000001E-2</v>
      </c>
      <c r="H13" s="13">
        <v>4640.5</v>
      </c>
      <c r="I13" s="19">
        <f t="shared" si="0"/>
        <v>0.45712311991710375</v>
      </c>
    </row>
    <row r="14" spans="1:9" x14ac:dyDescent="0.2">
      <c r="A14" s="11">
        <v>2006</v>
      </c>
      <c r="B14" s="11">
        <v>66</v>
      </c>
      <c r="C14" s="18">
        <v>9966.7294000000002</v>
      </c>
      <c r="D14" s="19">
        <v>0.10099999999999999</v>
      </c>
      <c r="E14" s="19">
        <v>3.3000000000000002E-2</v>
      </c>
      <c r="F14" s="19">
        <v>8.5999999999999993E-2</v>
      </c>
      <c r="G14" s="19">
        <v>2.4E-2</v>
      </c>
      <c r="H14" s="13">
        <v>6818.2</v>
      </c>
      <c r="I14" s="19">
        <f t="shared" si="0"/>
        <v>0.46928132744316342</v>
      </c>
    </row>
    <row r="15" spans="1:9" x14ac:dyDescent="0.2">
      <c r="A15" s="11">
        <v>2007</v>
      </c>
      <c r="B15" s="11">
        <v>70</v>
      </c>
      <c r="C15" s="18">
        <v>11977.14717</v>
      </c>
      <c r="D15" s="19">
        <v>7.4999999999999997E-2</v>
      </c>
      <c r="E15" s="19">
        <v>3.2000000000000001E-2</v>
      </c>
      <c r="F15" s="19">
        <v>0.10099999999999999</v>
      </c>
      <c r="G15" s="19">
        <v>0.04</v>
      </c>
      <c r="H15" s="13">
        <v>8693.7000000000007</v>
      </c>
      <c r="I15" s="19">
        <f t="shared" si="0"/>
        <v>0.27507259980640064</v>
      </c>
    </row>
    <row r="16" spans="1:9" x14ac:dyDescent="0.2">
      <c r="A16" s="11">
        <v>2008</v>
      </c>
      <c r="B16" s="11">
        <v>69</v>
      </c>
      <c r="C16" s="18">
        <v>12161.19406</v>
      </c>
      <c r="D16" s="19">
        <v>-3.7000000000000005E-2</v>
      </c>
      <c r="E16" s="19">
        <v>3.0000000000000001E-3</v>
      </c>
      <c r="F16" s="19">
        <v>0.06</v>
      </c>
      <c r="G16" s="19">
        <v>2.3E-2</v>
      </c>
      <c r="H16" s="13">
        <v>9051.9</v>
      </c>
      <c r="I16" s="19">
        <f t="shared" si="0"/>
        <v>4.1202249905103565E-2</v>
      </c>
    </row>
    <row r="19" spans="1:1" x14ac:dyDescent="0.2">
      <c r="A19" s="20"/>
    </row>
  </sheetData>
  <mergeCells count="5"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C11" sqref="C11"/>
    </sheetView>
  </sheetViews>
  <sheetFormatPr defaultColWidth="8.85546875" defaultRowHeight="12.75" x14ac:dyDescent="0.2"/>
  <cols>
    <col min="1" max="1" width="25.28515625" style="3" customWidth="1"/>
    <col min="2" max="2" width="7.140625" style="3" customWidth="1"/>
    <col min="3" max="3" width="14.7109375" style="3" customWidth="1"/>
    <col min="4" max="4" width="10.140625" style="3" bestFit="1" customWidth="1"/>
    <col min="5" max="5" width="14.7109375" style="3" bestFit="1" customWidth="1"/>
    <col min="6" max="6" width="12.85546875" style="3" bestFit="1" customWidth="1"/>
    <col min="7" max="7" width="12.5703125" style="3" bestFit="1" customWidth="1"/>
    <col min="8" max="16384" width="8.85546875" style="3"/>
  </cols>
  <sheetData>
    <row r="1" spans="1:7" x14ac:dyDescent="0.2">
      <c r="A1" s="15" t="s">
        <v>51</v>
      </c>
    </row>
    <row r="2" spans="1:7" x14ac:dyDescent="0.2">
      <c r="A2" s="11"/>
      <c r="B2" s="11" t="s">
        <v>39</v>
      </c>
      <c r="C2" s="12" t="s">
        <v>52</v>
      </c>
      <c r="D2" s="11" t="s">
        <v>53</v>
      </c>
      <c r="E2" s="11" t="s">
        <v>54</v>
      </c>
      <c r="F2" s="11" t="s">
        <v>55</v>
      </c>
      <c r="G2" s="11" t="s">
        <v>56</v>
      </c>
    </row>
    <row r="3" spans="1:7" x14ac:dyDescent="0.2">
      <c r="A3" s="21" t="s">
        <v>57</v>
      </c>
      <c r="B3" s="21">
        <v>2008</v>
      </c>
      <c r="C3" s="22">
        <v>16.010000000000002</v>
      </c>
      <c r="D3" s="22">
        <v>15</v>
      </c>
      <c r="E3" s="22">
        <v>13.5</v>
      </c>
      <c r="F3" s="22">
        <v>12.2</v>
      </c>
      <c r="G3" s="22">
        <v>10.199999999999999</v>
      </c>
    </row>
    <row r="4" spans="1:7" x14ac:dyDescent="0.2">
      <c r="A4" s="11" t="s">
        <v>58</v>
      </c>
      <c r="B4" s="11">
        <v>2008</v>
      </c>
      <c r="C4" s="11">
        <v>162</v>
      </c>
      <c r="D4" s="11">
        <v>258</v>
      </c>
      <c r="E4" s="11">
        <v>143</v>
      </c>
      <c r="F4" s="11">
        <v>65</v>
      </c>
      <c r="G4" s="11">
        <v>165</v>
      </c>
    </row>
    <row r="5" spans="1:7" x14ac:dyDescent="0.2">
      <c r="A5" s="11" t="s">
        <v>59</v>
      </c>
      <c r="B5" s="11">
        <v>2008</v>
      </c>
      <c r="C5" s="19">
        <v>0.75493259240840238</v>
      </c>
      <c r="D5" s="19">
        <f>70601/142430</f>
        <v>0.49568911044021624</v>
      </c>
      <c r="E5" s="19">
        <f>59931/74044</f>
        <v>0.80939711522878288</v>
      </c>
      <c r="F5" s="19">
        <f>59168/69458</f>
        <v>0.85185291831034582</v>
      </c>
      <c r="G5" s="19">
        <f>53246/95967</f>
        <v>0.55483655840028345</v>
      </c>
    </row>
    <row r="6" spans="1:7" x14ac:dyDescent="0.2">
      <c r="A6" s="23"/>
      <c r="B6" s="23"/>
      <c r="C6" s="24"/>
      <c r="D6" s="24"/>
      <c r="E6" s="24"/>
      <c r="F6" s="24"/>
      <c r="G6" s="24"/>
    </row>
    <row r="7" spans="1:7" x14ac:dyDescent="0.2">
      <c r="A7" s="12" t="s">
        <v>60</v>
      </c>
      <c r="B7" s="11" t="s">
        <v>39</v>
      </c>
      <c r="C7" s="12" t="s">
        <v>52</v>
      </c>
      <c r="D7" s="11" t="s">
        <v>53</v>
      </c>
      <c r="E7" s="11" t="s">
        <v>54</v>
      </c>
      <c r="F7" s="11" t="s">
        <v>55</v>
      </c>
      <c r="G7" s="11" t="s">
        <v>56</v>
      </c>
    </row>
    <row r="8" spans="1:7" x14ac:dyDescent="0.2">
      <c r="A8" s="53" t="s">
        <v>61</v>
      </c>
      <c r="B8" s="11">
        <v>2007</v>
      </c>
      <c r="C8" s="13">
        <v>5159.4595630999711</v>
      </c>
      <c r="D8" s="13">
        <f>138610/15.6466</f>
        <v>8858.7936037222153</v>
      </c>
      <c r="E8" s="13">
        <f>77177/15.6466</f>
        <v>4932.5092991448628</v>
      </c>
      <c r="F8" s="13">
        <f>73362/15.6466</f>
        <v>4688.686359975969</v>
      </c>
      <c r="G8" s="13">
        <f>82413/15.6466</f>
        <v>5267.1506908849206</v>
      </c>
    </row>
    <row r="9" spans="1:7" x14ac:dyDescent="0.2">
      <c r="A9" s="53"/>
      <c r="B9" s="11">
        <v>2008</v>
      </c>
      <c r="C9" s="13">
        <v>5911.6357547326579</v>
      </c>
      <c r="D9" s="13">
        <f>133412/15.6466</f>
        <v>8526.5808546265653</v>
      </c>
      <c r="E9" s="13">
        <f>74044/15.6466</f>
        <v>4732.2741042782463</v>
      </c>
      <c r="F9" s="13">
        <f>69516/15.6466</f>
        <v>4442.8821597024271</v>
      </c>
      <c r="G9" s="13">
        <f>95967/15.6466</f>
        <v>6133.4091751562646</v>
      </c>
    </row>
    <row r="10" spans="1:7" x14ac:dyDescent="0.2">
      <c r="A10" s="53" t="s">
        <v>62</v>
      </c>
      <c r="B10" s="11">
        <v>2007</v>
      </c>
      <c r="C10" s="13">
        <v>1025.9097823169252</v>
      </c>
      <c r="D10" s="13">
        <f>27490/15.6466</f>
        <v>1756.9312182838444</v>
      </c>
      <c r="E10" s="13">
        <f>14097/15.6466</f>
        <v>900.96250942696815</v>
      </c>
      <c r="F10" s="13">
        <f>9882/15.6466</f>
        <v>631.57491084325034</v>
      </c>
      <c r="G10" s="13">
        <f>12603/15.6466</f>
        <v>805.47850651259705</v>
      </c>
    </row>
    <row r="11" spans="1:7" x14ac:dyDescent="0.2">
      <c r="A11" s="53"/>
      <c r="B11" s="11">
        <v>2008</v>
      </c>
      <c r="C11" s="13">
        <v>1135.390436260913</v>
      </c>
      <c r="D11" s="13">
        <f>32754/15.6466</f>
        <v>2093.362136182941</v>
      </c>
      <c r="E11" s="13">
        <f>19443/15.6466</f>
        <v>1242.6341825061036</v>
      </c>
      <c r="F11" s="13">
        <f>10713/15.6466</f>
        <v>684.68549077754915</v>
      </c>
      <c r="G11" s="13">
        <f>14137/15.6466</f>
        <v>903.5189753684507</v>
      </c>
    </row>
    <row r="12" spans="1:7" x14ac:dyDescent="0.2">
      <c r="A12" s="53" t="s">
        <v>63</v>
      </c>
      <c r="B12" s="11">
        <v>2007</v>
      </c>
      <c r="C12" s="13">
        <v>1044.1246021499878</v>
      </c>
      <c r="D12" s="13">
        <f>22790/15.6466</f>
        <v>1456.5464701596513</v>
      </c>
      <c r="E12" s="13">
        <f>4298/15.6466</f>
        <v>274.69226541229403</v>
      </c>
      <c r="F12" s="13">
        <f>25540/15.6466</f>
        <v>1632.3035036365729</v>
      </c>
      <c r="G12" s="13">
        <f>16027/15.6466</f>
        <v>1024.3119911034985</v>
      </c>
    </row>
    <row r="13" spans="1:7" x14ac:dyDescent="0.2">
      <c r="A13" s="53"/>
      <c r="B13" s="11">
        <v>2008</v>
      </c>
      <c r="C13" s="13">
        <v>-574.94919023941168</v>
      </c>
      <c r="D13" s="13">
        <f>-385/15.64666</f>
        <v>-24.605890330588124</v>
      </c>
      <c r="E13" s="13">
        <f>6875/15.6466</f>
        <v>439.39258369230379</v>
      </c>
      <c r="F13" s="13">
        <f>27330/15.6466</f>
        <v>1746.7053545179144</v>
      </c>
      <c r="G13" s="13">
        <f>4307/15.6466</f>
        <v>275.2674702491276</v>
      </c>
    </row>
    <row r="14" spans="1:7" x14ac:dyDescent="0.2">
      <c r="A14" s="53" t="s">
        <v>64</v>
      </c>
      <c r="B14" s="11">
        <v>2007</v>
      </c>
      <c r="C14" s="13">
        <v>9416.6783838022329</v>
      </c>
      <c r="D14" s="13">
        <f>71662/15.6466</f>
        <v>4580.0365574629632</v>
      </c>
      <c r="E14" s="13">
        <f>26263/15.6466</f>
        <v>1678.511625528869</v>
      </c>
      <c r="F14" s="13">
        <f>38844/15.6466</f>
        <v>2482.5840757736505</v>
      </c>
      <c r="G14" s="13">
        <f>40183/15.6466</f>
        <v>2568.1617731647771</v>
      </c>
    </row>
    <row r="15" spans="1:7" x14ac:dyDescent="0.2">
      <c r="A15" s="53"/>
      <c r="B15" s="11">
        <v>2008</v>
      </c>
      <c r="C15" s="13">
        <v>9736.4922730816925</v>
      </c>
      <c r="D15" s="13">
        <f>76257/15.6466</f>
        <v>4873.7105824907649</v>
      </c>
      <c r="E15" s="13">
        <f>40394/15.6466</f>
        <v>2581.6471310060974</v>
      </c>
      <c r="F15" s="13">
        <f>50148/15.6466</f>
        <v>3205.0413508366037</v>
      </c>
      <c r="G15" s="13">
        <f>42325/15.6466</f>
        <v>2705.0605243311647</v>
      </c>
    </row>
    <row r="16" spans="1:7" x14ac:dyDescent="0.2">
      <c r="A16" s="53" t="s">
        <v>65</v>
      </c>
      <c r="B16" s="11">
        <v>2007</v>
      </c>
      <c r="C16" s="13">
        <v>19097.18405276546</v>
      </c>
      <c r="D16" s="13">
        <f>220254/15.6466</f>
        <v>14076.796236882135</v>
      </c>
      <c r="E16" s="13">
        <f>137312/15.6466</f>
        <v>8775.8362839211077</v>
      </c>
      <c r="F16" s="13">
        <f>112936/15.6466</f>
        <v>7217.9259391816759</v>
      </c>
      <c r="G16" s="13">
        <f>155873/15.6466</f>
        <v>9962.100392417522</v>
      </c>
    </row>
    <row r="17" spans="1:7" x14ac:dyDescent="0.2">
      <c r="A17" s="53"/>
      <c r="B17" s="11">
        <v>2008</v>
      </c>
      <c r="C17" s="13">
        <v>19170.107243746246</v>
      </c>
      <c r="D17" s="13">
        <f>286288/15.6466</f>
        <v>18297.13803637851</v>
      </c>
      <c r="E17" s="13">
        <f>203632/15.6466</f>
        <v>13014.456814899084</v>
      </c>
      <c r="F17" s="13">
        <f>134479/15.6466</f>
        <v>8594.77458361561</v>
      </c>
      <c r="G17" s="13">
        <f>157281/15.6466</f>
        <v>10052.087993557707</v>
      </c>
    </row>
    <row r="18" spans="1:7" x14ac:dyDescent="0.2">
      <c r="A18" s="53" t="s">
        <v>66</v>
      </c>
      <c r="B18" s="11">
        <v>2007</v>
      </c>
      <c r="C18" s="13">
        <v>2421.67627471783</v>
      </c>
      <c r="D18" s="13">
        <f>43274/15.6466</f>
        <v>2765.7126787928369</v>
      </c>
      <c r="E18" s="13">
        <f>23281/15.6466</f>
        <v>1487.9270895913489</v>
      </c>
      <c r="F18" s="13">
        <f>11835/15.6466</f>
        <v>756.39436043613307</v>
      </c>
      <c r="G18" s="13">
        <f>37459/15.6466</f>
        <v>2394.0664425498194</v>
      </c>
    </row>
    <row r="19" spans="1:7" x14ac:dyDescent="0.2">
      <c r="A19" s="53"/>
      <c r="B19" s="11">
        <v>2008</v>
      </c>
      <c r="C19" s="13">
        <v>3055.9993864481744</v>
      </c>
      <c r="D19" s="13">
        <f>67553/15.6466</f>
        <v>4317.4235936241739</v>
      </c>
      <c r="E19" s="13">
        <f>40186/15.6466</f>
        <v>2568.3535081103882</v>
      </c>
      <c r="F19" s="13">
        <f>8156/15.6466</f>
        <v>521.26340546828067</v>
      </c>
      <c r="G19" s="13">
        <f>35162/15.6466</f>
        <v>2247.2613858601871</v>
      </c>
    </row>
    <row r="20" spans="1:7" x14ac:dyDescent="0.2">
      <c r="A20" s="52" t="s">
        <v>67</v>
      </c>
      <c r="B20" s="11">
        <v>2007</v>
      </c>
      <c r="C20" s="13">
        <v>1158.7820996254777</v>
      </c>
      <c r="D20" s="13">
        <f>(1507+5086+4870)/15.6466</f>
        <v>732.61922718034589</v>
      </c>
      <c r="E20" s="13">
        <f>(1516+2107)/15.6466</f>
        <v>231.55190264977696</v>
      </c>
      <c r="F20" s="13">
        <f>1831/15.6466</f>
        <v>117.02222847136119</v>
      </c>
      <c r="G20" s="13">
        <f>(20263/15.6466)</f>
        <v>1295.0417343064948</v>
      </c>
    </row>
    <row r="21" spans="1:7" x14ac:dyDescent="0.2">
      <c r="A21" s="52"/>
      <c r="B21" s="11">
        <v>2008</v>
      </c>
      <c r="C21" s="13">
        <v>1592.4865465979829</v>
      </c>
      <c r="D21" s="13">
        <f>(6963+6253+3418)/15.6466</f>
        <v>1063.1063617654954</v>
      </c>
      <c r="E21" s="13">
        <f>(3087+7197)/15.6466</f>
        <v>657.2673935551494</v>
      </c>
      <c r="F21" s="13">
        <f>1007/15.6466</f>
        <v>64.35903007682181</v>
      </c>
      <c r="G21" s="13">
        <f>13778/15.6466</f>
        <v>880.57469354364525</v>
      </c>
    </row>
    <row r="22" spans="1:7" x14ac:dyDescent="0.2">
      <c r="A22" s="52" t="s">
        <v>68</v>
      </c>
      <c r="B22" s="11">
        <v>2007</v>
      </c>
      <c r="C22" s="13">
        <v>8404.1900476780902</v>
      </c>
      <c r="D22" s="13">
        <f>(14079+12456)/15.6466</f>
        <v>1695.8955939309499</v>
      </c>
      <c r="E22" s="13">
        <f>(28499+3997)/15.6466</f>
        <v>2076.8729308603788</v>
      </c>
      <c r="F22" s="13">
        <f>(3210-1831)/15.6466</f>
        <v>88.134163332609006</v>
      </c>
      <c r="G22" s="13">
        <f>48510/15.6466</f>
        <v>3100.3540705328955</v>
      </c>
    </row>
    <row r="23" spans="1:7" x14ac:dyDescent="0.2">
      <c r="A23" s="52"/>
      <c r="B23" s="11">
        <v>2008</v>
      </c>
      <c r="C23" s="13">
        <v>8473.8537445834882</v>
      </c>
      <c r="D23" s="13">
        <f>(19888+17054)/15.6466</f>
        <v>2361.0241202561579</v>
      </c>
      <c r="E23" s="13">
        <f>(53575+19191)/15.6466</f>
        <v>4650.5950174478803</v>
      </c>
      <c r="F23" s="13">
        <f>(3850-1008)/15.6466</f>
        <v>181.63690514233124</v>
      </c>
      <c r="G23" s="13">
        <f>47907/15.6466</f>
        <v>3061.8153464650468</v>
      </c>
    </row>
    <row r="24" spans="1:7" x14ac:dyDescent="0.2">
      <c r="A24" s="52" t="s">
        <v>69</v>
      </c>
      <c r="B24" s="11">
        <v>2007</v>
      </c>
      <c r="C24" s="13">
        <v>7999.2901333196996</v>
      </c>
      <c r="D24" s="13">
        <f>107123/15.6466</f>
        <v>6846.4075262357319</v>
      </c>
      <c r="E24" s="13">
        <f>71867/15.6466</f>
        <v>4593.1384454130612</v>
      </c>
      <c r="F24" s="13">
        <f>101104/15.6466</f>
        <v>6461.7233136911536</v>
      </c>
      <c r="G24" s="13">
        <f>69904/15.6466</f>
        <v>4467.679879334808</v>
      </c>
    </row>
    <row r="25" spans="1:7" x14ac:dyDescent="0.2">
      <c r="A25" s="52"/>
      <c r="B25" s="11">
        <v>2008</v>
      </c>
      <c r="C25" s="13">
        <v>7424.3409430802858</v>
      </c>
      <c r="D25" s="13">
        <f>101136/15.6466</f>
        <v>6463.7684864443399</v>
      </c>
      <c r="E25" s="13">
        <f>78742/15.6466</f>
        <v>5032.5310291053647</v>
      </c>
      <c r="F25" s="13">
        <f>126323/15.6466</f>
        <v>8073.5111781473297</v>
      </c>
      <c r="G25" s="13">
        <f>74211/15.6466</f>
        <v>4742.9473495839356</v>
      </c>
    </row>
    <row r="26" spans="1:7" s="26" customFormat="1" x14ac:dyDescent="0.2">
      <c r="A26" s="25"/>
      <c r="C26" s="27"/>
      <c r="D26" s="27"/>
      <c r="E26" s="27"/>
      <c r="F26" s="27"/>
      <c r="G26" s="27"/>
    </row>
    <row r="27" spans="1:7" x14ac:dyDescent="0.2">
      <c r="A27" s="12" t="s">
        <v>70</v>
      </c>
      <c r="B27" s="11" t="s">
        <v>39</v>
      </c>
      <c r="C27" s="12" t="s">
        <v>52</v>
      </c>
      <c r="D27" s="11" t="s">
        <v>53</v>
      </c>
      <c r="E27" s="11" t="s">
        <v>54</v>
      </c>
      <c r="F27" s="11" t="s">
        <v>55</v>
      </c>
      <c r="G27" s="11" t="s">
        <v>56</v>
      </c>
    </row>
    <row r="28" spans="1:7" x14ac:dyDescent="0.2">
      <c r="A28" s="52" t="s">
        <v>71</v>
      </c>
      <c r="B28" s="11">
        <v>2007</v>
      </c>
      <c r="C28" s="28"/>
      <c r="D28" s="28"/>
      <c r="E28" s="28"/>
      <c r="F28" s="28"/>
      <c r="G28" s="28"/>
    </row>
    <row r="29" spans="1:7" x14ac:dyDescent="0.2">
      <c r="A29" s="52"/>
      <c r="B29" s="11">
        <v>2008</v>
      </c>
      <c r="C29" s="28"/>
      <c r="D29" s="28"/>
      <c r="E29" s="28"/>
      <c r="F29" s="28"/>
      <c r="G29" s="28"/>
    </row>
    <row r="30" spans="1:7" x14ac:dyDescent="0.2">
      <c r="A30" s="52" t="s">
        <v>72</v>
      </c>
      <c r="B30" s="11">
        <v>2007</v>
      </c>
      <c r="C30" s="19"/>
      <c r="D30" s="19"/>
      <c r="E30" s="19"/>
      <c r="F30" s="19"/>
      <c r="G30" s="19"/>
    </row>
    <row r="31" spans="1:7" x14ac:dyDescent="0.2">
      <c r="A31" s="52"/>
      <c r="B31" s="11">
        <v>2008</v>
      </c>
      <c r="C31" s="19"/>
      <c r="D31" s="19"/>
      <c r="E31" s="19"/>
      <c r="F31" s="19"/>
      <c r="G31" s="19"/>
    </row>
    <row r="32" spans="1:7" x14ac:dyDescent="0.2">
      <c r="A32" s="52" t="s">
        <v>73</v>
      </c>
      <c r="B32" s="11">
        <v>2007</v>
      </c>
      <c r="C32" s="19"/>
      <c r="D32" s="19"/>
      <c r="E32" s="19"/>
      <c r="F32" s="19"/>
      <c r="G32" s="19"/>
    </row>
    <row r="33" spans="1:7" x14ac:dyDescent="0.2">
      <c r="A33" s="52"/>
      <c r="B33" s="11">
        <v>2008</v>
      </c>
      <c r="C33" s="19"/>
      <c r="D33" s="19"/>
      <c r="E33" s="19"/>
      <c r="F33" s="19"/>
      <c r="G33" s="19"/>
    </row>
    <row r="34" spans="1:7" x14ac:dyDescent="0.2">
      <c r="A34" s="52" t="s">
        <v>74</v>
      </c>
      <c r="B34" s="11">
        <v>2007</v>
      </c>
      <c r="C34" s="19"/>
      <c r="D34" s="19"/>
      <c r="E34" s="19"/>
      <c r="F34" s="19"/>
      <c r="G34" s="19"/>
    </row>
    <row r="35" spans="1:7" x14ac:dyDescent="0.2">
      <c r="A35" s="52"/>
      <c r="B35" s="11">
        <v>2008</v>
      </c>
      <c r="C35" s="19"/>
      <c r="D35" s="19"/>
      <c r="E35" s="19"/>
      <c r="F35" s="19"/>
      <c r="G35" s="19"/>
    </row>
    <row r="36" spans="1:7" x14ac:dyDescent="0.2">
      <c r="A36" s="52" t="s">
        <v>75</v>
      </c>
      <c r="B36" s="11">
        <v>2007</v>
      </c>
      <c r="C36" s="19"/>
      <c r="D36" s="19"/>
      <c r="E36" s="19"/>
      <c r="F36" s="19"/>
      <c r="G36" s="19"/>
    </row>
    <row r="37" spans="1:7" x14ac:dyDescent="0.2">
      <c r="A37" s="52"/>
      <c r="B37" s="11">
        <v>2008</v>
      </c>
      <c r="C37" s="19"/>
      <c r="D37" s="19"/>
      <c r="E37" s="19"/>
      <c r="F37" s="19"/>
      <c r="G37" s="19"/>
    </row>
    <row r="38" spans="1:7" x14ac:dyDescent="0.2">
      <c r="A38" s="52" t="s">
        <v>76</v>
      </c>
      <c r="B38" s="11">
        <v>2007</v>
      </c>
      <c r="C38" s="19"/>
      <c r="D38" s="19"/>
      <c r="E38" s="19"/>
      <c r="F38" s="19"/>
      <c r="G38" s="19"/>
    </row>
    <row r="39" spans="1:7" x14ac:dyDescent="0.2">
      <c r="A39" s="52"/>
      <c r="B39" s="11">
        <v>2008</v>
      </c>
      <c r="C39" s="19"/>
      <c r="D39" s="19"/>
      <c r="E39" s="19"/>
      <c r="F39" s="19"/>
      <c r="G39" s="19"/>
    </row>
    <row r="42" spans="1:7" x14ac:dyDescent="0.2">
      <c r="A42" s="3" t="s">
        <v>77</v>
      </c>
    </row>
  </sheetData>
  <mergeCells count="15">
    <mergeCell ref="A18:A19"/>
    <mergeCell ref="A8:A9"/>
    <mergeCell ref="A10:A11"/>
    <mergeCell ref="A12:A13"/>
    <mergeCell ref="A14:A15"/>
    <mergeCell ref="A16:A17"/>
    <mergeCell ref="A34:A35"/>
    <mergeCell ref="A36:A37"/>
    <mergeCell ref="A38:A39"/>
    <mergeCell ref="A20:A21"/>
    <mergeCell ref="A22:A23"/>
    <mergeCell ref="A24:A25"/>
    <mergeCell ref="A28:A29"/>
    <mergeCell ref="A30:A31"/>
    <mergeCell ref="A32:A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2</vt:lpstr>
      <vt:lpstr>Figure 3</vt:lpstr>
      <vt:lpstr>Figure 4</vt:lpstr>
      <vt:lpstr>Figure 5</vt:lpstr>
      <vt:lpstr>Figure 6</vt:lpstr>
      <vt:lpstr>Table 1</vt:lpstr>
      <vt:lpstr>Table 2</vt:lpstr>
      <vt:lpstr>Appendix 1</vt:lpstr>
      <vt:lpstr>Appendix 2</vt:lpstr>
      <vt:lpstr>Appendix 3</vt:lpstr>
      <vt:lpstr>Appendix 4</vt:lpstr>
      <vt:lpstr>Appendix 5</vt:lpstr>
    </vt:vector>
  </TitlesOfParts>
  <Company>Tallinna Tehnikaülikool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Laivi</dc:creator>
  <cp:lastModifiedBy>Laivi Laidroo</cp:lastModifiedBy>
  <dcterms:created xsi:type="dcterms:W3CDTF">2012-05-04T10:29:56Z</dcterms:created>
  <dcterms:modified xsi:type="dcterms:W3CDTF">2015-08-10T11:37:35Z</dcterms:modified>
</cp:coreProperties>
</file>